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limateservicesch-my.sharepoint.com/personal/werner_halter_climate-services_ch/Documents/10 Projets/HES-SO Sierre/03 Projet/Cours automne 2025/"/>
    </mc:Choice>
  </mc:AlternateContent>
  <xr:revisionPtr revIDLastSave="11" documentId="8_{BA918094-6382-4E2E-8F54-A12DC98557EF}" xr6:coauthVersionLast="47" xr6:coauthVersionMax="47" xr10:uidLastSave="{ADEF6C6C-B93F-4474-9170-54B5991A842B}"/>
  <workbookProtection workbookAlgorithmName="SHA-512" workbookHashValue="5VCmJbS5wiUdlvpIKnXE6r4Ojbgte+7cLOmRQmQxWc4Kap0wWL/Ws5cJ90E3YXVhPajJR8EQP52aNCknO9SuWw==" workbookSaltValue="rlz2qE66QnVYK5JT97YsDg==" workbookSpinCount="100000" lockStructure="1"/>
  <bookViews>
    <workbookView xWindow="456" yWindow="12" windowWidth="22440" windowHeight="12216" xr2:uid="{00000000-000D-0000-FFFF-FFFF00000000}"/>
  </bookViews>
  <sheets>
    <sheet name="Instructions" sheetId="15" r:id="rId1"/>
    <sheet name="(1) Formulaire" sheetId="10" r:id="rId2"/>
    <sheet name="(2) Bilan et Mesures" sheetId="14" r:id="rId3"/>
    <sheet name="(3) Behind the scenes" sheetId="13" state="hidden" r:id="rId4"/>
    <sheet name="(hide) Bilan" sheetId="1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4" l="1"/>
  <c r="AH1" i="14"/>
  <c r="J23" i="14"/>
  <c r="K23" i="14"/>
  <c r="L23" i="14"/>
  <c r="M23" i="14"/>
  <c r="N23" i="14"/>
  <c r="O23" i="14"/>
  <c r="P23" i="14"/>
  <c r="I23" i="14"/>
  <c r="H23" i="14"/>
  <c r="G23" i="14"/>
  <c r="H22" i="14"/>
  <c r="G22" i="14"/>
  <c r="B86" i="13"/>
  <c r="AI1" i="14"/>
  <c r="AJ1" i="14" s="1"/>
  <c r="AK1" i="14" s="1"/>
  <c r="AL1" i="14" s="1"/>
  <c r="AM1" i="14" s="1"/>
  <c r="AN1" i="14" s="1"/>
  <c r="AO1" i="14" s="1"/>
  <c r="AP1" i="14" s="1"/>
  <c r="B65" i="10"/>
  <c r="H8" i="14"/>
  <c r="G21" i="14"/>
  <c r="G20" i="14"/>
  <c r="G19" i="14"/>
  <c r="AF18" i="14"/>
  <c r="AE18" i="14"/>
  <c r="AH18" i="14" s="1"/>
  <c r="AD18" i="14"/>
  <c r="G18" i="14"/>
  <c r="AF17" i="14"/>
  <c r="AE17" i="14"/>
  <c r="AH17" i="14" s="1"/>
  <c r="AD17" i="14"/>
  <c r="G17" i="14"/>
  <c r="AF16" i="14"/>
  <c r="AE16" i="14"/>
  <c r="AH16" i="14" s="1"/>
  <c r="AD16" i="14"/>
  <c r="G16" i="14"/>
  <c r="AF15" i="14"/>
  <c r="AE15" i="14"/>
  <c r="AH15" i="14" s="1"/>
  <c r="AD15" i="14"/>
  <c r="G15" i="14"/>
  <c r="AF14" i="14"/>
  <c r="AE14" i="14"/>
  <c r="AH14" i="14" s="1"/>
  <c r="AD14" i="14"/>
  <c r="G14" i="14"/>
  <c r="AF13" i="14"/>
  <c r="AE13" i="14"/>
  <c r="AH13" i="14" s="1"/>
  <c r="AD13" i="14"/>
  <c r="G13" i="14"/>
  <c r="AF12" i="14"/>
  <c r="AE12" i="14"/>
  <c r="AH12" i="14" s="1"/>
  <c r="AD12" i="14"/>
  <c r="G12" i="14"/>
  <c r="AF11" i="14"/>
  <c r="AE11" i="14"/>
  <c r="AH11" i="14" s="1"/>
  <c r="AD11" i="14"/>
  <c r="G11" i="14"/>
  <c r="AF10" i="14"/>
  <c r="AE10" i="14"/>
  <c r="AH10" i="14" s="1"/>
  <c r="AD10" i="14"/>
  <c r="G10" i="14"/>
  <c r="AF9" i="14"/>
  <c r="AE9" i="14"/>
  <c r="AH9" i="14" s="1"/>
  <c r="AD9" i="14"/>
  <c r="G9" i="14"/>
  <c r="AF8" i="14"/>
  <c r="AE8" i="14"/>
  <c r="AH8" i="14" s="1"/>
  <c r="AD8" i="14"/>
  <c r="G8" i="14"/>
  <c r="AF7" i="14"/>
  <c r="AE7" i="14"/>
  <c r="AH7" i="14" s="1"/>
  <c r="AD7" i="14"/>
  <c r="G7" i="14"/>
  <c r="AF6" i="14"/>
  <c r="AE6" i="14"/>
  <c r="AH6" i="14" s="1"/>
  <c r="AD6" i="14"/>
  <c r="G6" i="14"/>
  <c r="AF5" i="14"/>
  <c r="AE5" i="14"/>
  <c r="AH5" i="14" s="1"/>
  <c r="AD5" i="14"/>
  <c r="G5" i="14"/>
  <c r="AF4" i="14"/>
  <c r="AE4" i="14"/>
  <c r="AH4" i="14" s="1"/>
  <c r="AD4" i="14"/>
  <c r="AJ49" i="14" s="1"/>
  <c r="J21" i="14" s="1"/>
  <c r="I4" i="14"/>
  <c r="J4" i="14" s="1"/>
  <c r="K4" i="14" s="1"/>
  <c r="L4" i="14" s="1"/>
  <c r="M4" i="14" s="1"/>
  <c r="N4" i="14" s="1"/>
  <c r="O4" i="14" s="1"/>
  <c r="P4" i="14" s="1"/>
  <c r="D46" i="13"/>
  <c r="B79" i="13"/>
  <c r="D83" i="13"/>
  <c r="B83" i="13" s="1"/>
  <c r="B82" i="13"/>
  <c r="D82" i="13"/>
  <c r="B81" i="13"/>
  <c r="B80" i="13"/>
  <c r="B41" i="10"/>
  <c r="B40" i="10"/>
  <c r="B39" i="10"/>
  <c r="B38" i="10"/>
  <c r="B37" i="10"/>
  <c r="B36" i="10"/>
  <c r="B35" i="10"/>
  <c r="B34" i="10"/>
  <c r="B33" i="10"/>
  <c r="B6" i="13"/>
  <c r="B5" i="13"/>
  <c r="E8" i="13"/>
  <c r="C72" i="13"/>
  <c r="C18" i="12" s="1"/>
  <c r="C21" i="14" s="1"/>
  <c r="C69" i="13"/>
  <c r="C13" i="12" s="1"/>
  <c r="C16" i="14" s="1"/>
  <c r="C66" i="13"/>
  <c r="C17" i="12" s="1"/>
  <c r="C20" i="14" s="1"/>
  <c r="C15" i="12"/>
  <c r="E72" i="10" s="1"/>
  <c r="C14" i="12"/>
  <c r="E71" i="10" s="1"/>
  <c r="C60" i="13"/>
  <c r="C61" i="13"/>
  <c r="C62" i="13"/>
  <c r="C59" i="13"/>
  <c r="B54" i="13"/>
  <c r="B56" i="13"/>
  <c r="C12" i="12" s="1"/>
  <c r="C15" i="14" s="1"/>
  <c r="AJ50" i="14" l="1"/>
  <c r="J22" i="14" s="1"/>
  <c r="AI5" i="14"/>
  <c r="AJ5" i="14" s="1"/>
  <c r="AK5" i="14" s="1"/>
  <c r="AL5" i="14" s="1"/>
  <c r="AM5" i="14" s="1"/>
  <c r="AM50" i="14" s="1"/>
  <c r="M22" i="14" s="1"/>
  <c r="C18" i="14"/>
  <c r="H18" i="14" s="1"/>
  <c r="C17" i="14"/>
  <c r="H17" i="14" s="1"/>
  <c r="AI9" i="14"/>
  <c r="AJ9" i="14" s="1"/>
  <c r="AK9" i="14" s="1"/>
  <c r="AL9" i="14" s="1"/>
  <c r="AM9" i="14" s="1"/>
  <c r="AN9" i="14" s="1"/>
  <c r="AO9" i="14" s="1"/>
  <c r="AP9" i="14" s="1"/>
  <c r="AI8" i="14"/>
  <c r="AJ8" i="14" s="1"/>
  <c r="AK8" i="14" s="1"/>
  <c r="AL8" i="14" s="1"/>
  <c r="AM8" i="14" s="1"/>
  <c r="AN8" i="14" s="1"/>
  <c r="AO8" i="14" s="1"/>
  <c r="AP8" i="14" s="1"/>
  <c r="AI14" i="14"/>
  <c r="AJ14" i="14" s="1"/>
  <c r="AK14" i="14" s="1"/>
  <c r="AL14" i="14" s="1"/>
  <c r="AM14" i="14" s="1"/>
  <c r="AN14" i="14" s="1"/>
  <c r="AO14" i="14" s="1"/>
  <c r="AP14" i="14" s="1"/>
  <c r="AI39" i="14"/>
  <c r="AM36" i="14"/>
  <c r="M8" i="14" s="1"/>
  <c r="AI6" i="14"/>
  <c r="AJ6" i="14" s="1"/>
  <c r="AI10" i="14"/>
  <c r="AJ10" i="14" s="1"/>
  <c r="AK10" i="14" s="1"/>
  <c r="AL10" i="14" s="1"/>
  <c r="AM10" i="14" s="1"/>
  <c r="AN10" i="14" s="1"/>
  <c r="AO10" i="14" s="1"/>
  <c r="AP10" i="14" s="1"/>
  <c r="AI4" i="14"/>
  <c r="AI34" i="14" s="1"/>
  <c r="I6" i="14" s="1"/>
  <c r="AI7" i="14"/>
  <c r="AJ7" i="14" s="1"/>
  <c r="AK7" i="14" s="1"/>
  <c r="AL7" i="14" s="1"/>
  <c r="AM7" i="14" s="1"/>
  <c r="AN7" i="14" s="1"/>
  <c r="AO7" i="14" s="1"/>
  <c r="AP7" i="14" s="1"/>
  <c r="AP37" i="14" s="1"/>
  <c r="P9" i="14" s="1"/>
  <c r="AI18" i="14"/>
  <c r="AJ18" i="14" s="1"/>
  <c r="AK18" i="14" s="1"/>
  <c r="AL18" i="14" s="1"/>
  <c r="AM18" i="14" s="1"/>
  <c r="AN18" i="14" s="1"/>
  <c r="AO18" i="14" s="1"/>
  <c r="AP18" i="14" s="1"/>
  <c r="AI15" i="14"/>
  <c r="AJ15" i="14" s="1"/>
  <c r="AK15" i="14" s="1"/>
  <c r="AL15" i="14" s="1"/>
  <c r="AM15" i="14" s="1"/>
  <c r="AN15" i="14" s="1"/>
  <c r="AO15" i="14" s="1"/>
  <c r="AP15" i="14" s="1"/>
  <c r="AI11" i="14"/>
  <c r="AJ11" i="14" s="1"/>
  <c r="AK11" i="14" s="1"/>
  <c r="AL11" i="14" s="1"/>
  <c r="AM11" i="14" s="1"/>
  <c r="AN11" i="14" s="1"/>
  <c r="AO11" i="14" s="1"/>
  <c r="AP11" i="14" s="1"/>
  <c r="H16" i="14"/>
  <c r="H20" i="14"/>
  <c r="H21" i="14"/>
  <c r="AM38" i="14"/>
  <c r="M10" i="14" s="1"/>
  <c r="AN36" i="14"/>
  <c r="N8" i="14" s="1"/>
  <c r="AN38" i="14"/>
  <c r="N10" i="14" s="1"/>
  <c r="AI16" i="14"/>
  <c r="AJ16" i="14" s="1"/>
  <c r="AK16" i="14" s="1"/>
  <c r="AL16" i="14" s="1"/>
  <c r="AM16" i="14" s="1"/>
  <c r="AN16" i="14" s="1"/>
  <c r="AO16" i="14" s="1"/>
  <c r="AP16" i="14" s="1"/>
  <c r="AP49" i="14"/>
  <c r="P21" i="14" s="1"/>
  <c r="AL49" i="14"/>
  <c r="L21" i="14" s="1"/>
  <c r="AP48" i="14"/>
  <c r="P20" i="14" s="1"/>
  <c r="AL48" i="14"/>
  <c r="L20" i="14" s="1"/>
  <c r="AP47" i="14"/>
  <c r="P19" i="14" s="1"/>
  <c r="AL47" i="14"/>
  <c r="L19" i="14" s="1"/>
  <c r="AP46" i="14"/>
  <c r="P18" i="14" s="1"/>
  <c r="AL46" i="14"/>
  <c r="L18" i="14" s="1"/>
  <c r="AP45" i="14"/>
  <c r="P17" i="14" s="1"/>
  <c r="AL45" i="14"/>
  <c r="L17" i="14" s="1"/>
  <c r="AP44" i="14"/>
  <c r="P16" i="14" s="1"/>
  <c r="AL44" i="14"/>
  <c r="L16" i="14" s="1"/>
  <c r="AP43" i="14"/>
  <c r="P15" i="14" s="1"/>
  <c r="AL43" i="14"/>
  <c r="L15" i="14" s="1"/>
  <c r="AP42" i="14"/>
  <c r="P14" i="14" s="1"/>
  <c r="AL42" i="14"/>
  <c r="L14" i="14" s="1"/>
  <c r="AP41" i="14"/>
  <c r="P13" i="14" s="1"/>
  <c r="AL41" i="14"/>
  <c r="L13" i="14" s="1"/>
  <c r="AP40" i="14"/>
  <c r="P12" i="14" s="1"/>
  <c r="AL40" i="14"/>
  <c r="L12" i="14" s="1"/>
  <c r="AP39" i="14"/>
  <c r="AL39" i="14"/>
  <c r="AP38" i="14"/>
  <c r="P10" i="14" s="1"/>
  <c r="AL38" i="14"/>
  <c r="L10" i="14" s="1"/>
  <c r="AP36" i="14"/>
  <c r="P8" i="14" s="1"/>
  <c r="AL36" i="14"/>
  <c r="L8" i="14" s="1"/>
  <c r="AO49" i="14"/>
  <c r="O21" i="14" s="1"/>
  <c r="AK49" i="14"/>
  <c r="K21" i="14" s="1"/>
  <c r="AO48" i="14"/>
  <c r="O20" i="14" s="1"/>
  <c r="AK48" i="14"/>
  <c r="K20" i="14" s="1"/>
  <c r="AO47" i="14"/>
  <c r="O19" i="14" s="1"/>
  <c r="AK47" i="14"/>
  <c r="K19" i="14" s="1"/>
  <c r="AO46" i="14"/>
  <c r="O18" i="14" s="1"/>
  <c r="AK46" i="14"/>
  <c r="K18" i="14" s="1"/>
  <c r="AO45" i="14"/>
  <c r="O17" i="14" s="1"/>
  <c r="AK45" i="14"/>
  <c r="K17" i="14" s="1"/>
  <c r="AO44" i="14"/>
  <c r="O16" i="14" s="1"/>
  <c r="AK44" i="14"/>
  <c r="K16" i="14" s="1"/>
  <c r="AO43" i="14"/>
  <c r="O15" i="14" s="1"/>
  <c r="AK43" i="14"/>
  <c r="K15" i="14" s="1"/>
  <c r="AO42" i="14"/>
  <c r="O14" i="14" s="1"/>
  <c r="AK42" i="14"/>
  <c r="K14" i="14" s="1"/>
  <c r="AO41" i="14"/>
  <c r="O13" i="14" s="1"/>
  <c r="AK41" i="14"/>
  <c r="K13" i="14" s="1"/>
  <c r="AO40" i="14"/>
  <c r="O12" i="14" s="1"/>
  <c r="AK40" i="14"/>
  <c r="K12" i="14" s="1"/>
  <c r="AO39" i="14"/>
  <c r="AK39" i="14"/>
  <c r="AO38" i="14"/>
  <c r="O10" i="14" s="1"/>
  <c r="AK38" i="14"/>
  <c r="K10" i="14" s="1"/>
  <c r="AO36" i="14"/>
  <c r="O8" i="14" s="1"/>
  <c r="AK36" i="14"/>
  <c r="K8" i="14" s="1"/>
  <c r="AN49" i="14"/>
  <c r="N21" i="14" s="1"/>
  <c r="AN48" i="14"/>
  <c r="N20" i="14" s="1"/>
  <c r="AJ48" i="14"/>
  <c r="J20" i="14" s="1"/>
  <c r="AN47" i="14"/>
  <c r="N19" i="14" s="1"/>
  <c r="AJ47" i="14"/>
  <c r="J19" i="14" s="1"/>
  <c r="AN46" i="14"/>
  <c r="N18" i="14" s="1"/>
  <c r="AJ46" i="14"/>
  <c r="J18" i="14" s="1"/>
  <c r="AN45" i="14"/>
  <c r="N17" i="14" s="1"/>
  <c r="AJ45" i="14"/>
  <c r="J17" i="14" s="1"/>
  <c r="AN44" i="14"/>
  <c r="N16" i="14" s="1"/>
  <c r="AJ44" i="14"/>
  <c r="J16" i="14" s="1"/>
  <c r="AN43" i="14"/>
  <c r="N15" i="14" s="1"/>
  <c r="AJ43" i="14"/>
  <c r="J15" i="14" s="1"/>
  <c r="AN42" i="14"/>
  <c r="N14" i="14" s="1"/>
  <c r="AJ42" i="14"/>
  <c r="J14" i="14" s="1"/>
  <c r="AN41" i="14"/>
  <c r="N13" i="14" s="1"/>
  <c r="AJ41" i="14"/>
  <c r="J13" i="14" s="1"/>
  <c r="AN40" i="14"/>
  <c r="N12" i="14" s="1"/>
  <c r="AJ40" i="14"/>
  <c r="J12" i="14" s="1"/>
  <c r="AN39" i="14"/>
  <c r="AM49" i="14"/>
  <c r="M21" i="14" s="1"/>
  <c r="AI49" i="14"/>
  <c r="I21" i="14" s="1"/>
  <c r="AM48" i="14"/>
  <c r="M20" i="14" s="1"/>
  <c r="AI48" i="14"/>
  <c r="I20" i="14" s="1"/>
  <c r="AM47" i="14"/>
  <c r="M19" i="14" s="1"/>
  <c r="AI47" i="14"/>
  <c r="I19" i="14" s="1"/>
  <c r="AM46" i="14"/>
  <c r="M18" i="14" s="1"/>
  <c r="AI46" i="14"/>
  <c r="I18" i="14" s="1"/>
  <c r="AM45" i="14"/>
  <c r="M17" i="14" s="1"/>
  <c r="AI45" i="14"/>
  <c r="I17" i="14" s="1"/>
  <c r="AM44" i="14"/>
  <c r="M16" i="14" s="1"/>
  <c r="AI44" i="14"/>
  <c r="I16" i="14" s="1"/>
  <c r="AM43" i="14"/>
  <c r="M15" i="14" s="1"/>
  <c r="AI43" i="14"/>
  <c r="I15" i="14" s="1"/>
  <c r="AM42" i="14"/>
  <c r="M14" i="14" s="1"/>
  <c r="AI42" i="14"/>
  <c r="I14" i="14" s="1"/>
  <c r="AM41" i="14"/>
  <c r="M13" i="14" s="1"/>
  <c r="AI41" i="14"/>
  <c r="I13" i="14" s="1"/>
  <c r="AM40" i="14"/>
  <c r="M12" i="14" s="1"/>
  <c r="AI40" i="14"/>
  <c r="I12" i="14" s="1"/>
  <c r="AM39" i="14"/>
  <c r="AI12" i="14"/>
  <c r="AJ12" i="14" s="1"/>
  <c r="AK12" i="14" s="1"/>
  <c r="AL12" i="14" s="1"/>
  <c r="AM12" i="14" s="1"/>
  <c r="AN12" i="14" s="1"/>
  <c r="AO12" i="14" s="1"/>
  <c r="AP12" i="14" s="1"/>
  <c r="AI13" i="14"/>
  <c r="AJ13" i="14" s="1"/>
  <c r="AK13" i="14" s="1"/>
  <c r="AL13" i="14" s="1"/>
  <c r="AM13" i="14" s="1"/>
  <c r="AN13" i="14" s="1"/>
  <c r="AO13" i="14" s="1"/>
  <c r="AP13" i="14" s="1"/>
  <c r="AI17" i="14"/>
  <c r="AJ17" i="14" s="1"/>
  <c r="AK17" i="14" s="1"/>
  <c r="AL17" i="14" s="1"/>
  <c r="AM17" i="14" s="1"/>
  <c r="AN17" i="14" s="1"/>
  <c r="AO17" i="14" s="1"/>
  <c r="AP17" i="14" s="1"/>
  <c r="AI33" i="14"/>
  <c r="I5" i="14" s="1"/>
  <c r="AI35" i="14"/>
  <c r="I7" i="14" s="1"/>
  <c r="AI36" i="14"/>
  <c r="I8" i="14" s="1"/>
  <c r="AI38" i="14"/>
  <c r="I10" i="14" s="1"/>
  <c r="AJ36" i="14"/>
  <c r="J8" i="14" s="1"/>
  <c r="AJ37" i="14"/>
  <c r="J9" i="14" s="1"/>
  <c r="AJ38" i="14"/>
  <c r="J10" i="14" s="1"/>
  <c r="AJ39" i="14"/>
  <c r="C11" i="12"/>
  <c r="C16" i="12"/>
  <c r="C19" i="14" s="1"/>
  <c r="H19" i="14" s="1"/>
  <c r="D50" i="13"/>
  <c r="D51" i="13"/>
  <c r="A51" i="13"/>
  <c r="A50" i="13"/>
  <c r="A47" i="13"/>
  <c r="A48" i="13"/>
  <c r="A49" i="13"/>
  <c r="A46" i="13"/>
  <c r="D47" i="13"/>
  <c r="D48" i="13"/>
  <c r="D49" i="13"/>
  <c r="C42" i="13"/>
  <c r="C43" i="13" s="1"/>
  <c r="B42" i="13"/>
  <c r="B39" i="13"/>
  <c r="C39" i="13" s="1"/>
  <c r="B29" i="10"/>
  <c r="B28" i="10"/>
  <c r="B27" i="10"/>
  <c r="B26" i="10"/>
  <c r="E27" i="10"/>
  <c r="B36" i="13" s="1"/>
  <c r="C36" i="13" s="1"/>
  <c r="B32" i="13"/>
  <c r="C32" i="13" s="1"/>
  <c r="B29" i="13"/>
  <c r="C29" i="13" s="1"/>
  <c r="B21" i="13"/>
  <c r="B20" i="13"/>
  <c r="B24" i="13"/>
  <c r="B13" i="13"/>
  <c r="B9" i="13"/>
  <c r="B4" i="13"/>
  <c r="D8" i="13"/>
  <c r="B14" i="13" s="1"/>
  <c r="B15" i="13" s="1"/>
  <c r="B16" i="13" s="1"/>
  <c r="C3" i="12" s="1"/>
  <c r="G8" i="13"/>
  <c r="B10" i="13" s="1"/>
  <c r="C8" i="13"/>
  <c r="B8" i="13"/>
  <c r="AI50" i="14" l="1"/>
  <c r="I22" i="14" s="1"/>
  <c r="AK50" i="14"/>
  <c r="K22" i="14" s="1"/>
  <c r="AL50" i="14"/>
  <c r="L22" i="14" s="1"/>
  <c r="C2" i="12"/>
  <c r="C5" i="14" s="1"/>
  <c r="AK37" i="14"/>
  <c r="K9" i="14" s="1"/>
  <c r="AL37" i="14"/>
  <c r="L9" i="14" s="1"/>
  <c r="AO37" i="14"/>
  <c r="O9" i="14" s="1"/>
  <c r="AI37" i="14"/>
  <c r="I9" i="14" s="1"/>
  <c r="AN37" i="14"/>
  <c r="N9" i="14" s="1"/>
  <c r="AM37" i="14"/>
  <c r="M9" i="14" s="1"/>
  <c r="AK6" i="14"/>
  <c r="AJ33" i="14"/>
  <c r="J5" i="14" s="1"/>
  <c r="C6" i="12"/>
  <c r="C9" i="12"/>
  <c r="C12" i="14" s="1"/>
  <c r="AJ4" i="14"/>
  <c r="AK4" i="14" s="1"/>
  <c r="AL4" i="14" s="1"/>
  <c r="AM4" i="14" s="1"/>
  <c r="AN4" i="14" s="1"/>
  <c r="C6" i="14"/>
  <c r="H6" i="14" s="1"/>
  <c r="H15" i="14"/>
  <c r="C14" i="14"/>
  <c r="H14" i="14" s="1"/>
  <c r="H13" i="14"/>
  <c r="AN5" i="14"/>
  <c r="AN50" i="14" s="1"/>
  <c r="N22" i="14" s="1"/>
  <c r="C7" i="12"/>
  <c r="C8" i="12"/>
  <c r="C4" i="12"/>
  <c r="AL35" i="14" l="1"/>
  <c r="L7" i="14" s="1"/>
  <c r="AK35" i="14"/>
  <c r="K7" i="14" s="1"/>
  <c r="AJ35" i="14"/>
  <c r="J7" i="14" s="1"/>
  <c r="AM35" i="14"/>
  <c r="M7" i="14" s="1"/>
  <c r="H5" i="14"/>
  <c r="AL6" i="14"/>
  <c r="AK33" i="14"/>
  <c r="K5" i="14" s="1"/>
  <c r="AK34" i="14"/>
  <c r="K6" i="14" s="1"/>
  <c r="AM34" i="14"/>
  <c r="M6" i="14" s="1"/>
  <c r="AJ34" i="14"/>
  <c r="J6" i="14" s="1"/>
  <c r="AL34" i="14"/>
  <c r="L6" i="14" s="1"/>
  <c r="H11" i="14"/>
  <c r="C10" i="14"/>
  <c r="H10" i="14" s="1"/>
  <c r="C9" i="14"/>
  <c r="H9" i="14" s="1"/>
  <c r="C7" i="14"/>
  <c r="H7" i="14" s="1"/>
  <c r="C19" i="12"/>
  <c r="D2" i="12"/>
  <c r="H12" i="14"/>
  <c r="AO4" i="14"/>
  <c r="AN34" i="14"/>
  <c r="N6" i="14" s="1"/>
  <c r="AO5" i="14"/>
  <c r="AO50" i="14" s="1"/>
  <c r="O22" i="14" s="1"/>
  <c r="AN35" i="14"/>
  <c r="N7" i="14" s="1"/>
  <c r="I11" i="14" l="1"/>
  <c r="L11" i="14"/>
  <c r="P11" i="14"/>
  <c r="J11" i="14"/>
  <c r="O11" i="14"/>
  <c r="N11" i="14"/>
  <c r="K11" i="14"/>
  <c r="M11" i="14"/>
  <c r="H24" i="14"/>
  <c r="C24" i="14"/>
  <c r="AM6" i="14"/>
  <c r="AL33" i="14"/>
  <c r="L5" i="14" s="1"/>
  <c r="AP4" i="14"/>
  <c r="AP34" i="14" s="1"/>
  <c r="P6" i="14" s="1"/>
  <c r="AO34" i="14"/>
  <c r="O6" i="14" s="1"/>
  <c r="AP5" i="14"/>
  <c r="AP50" i="14" s="1"/>
  <c r="P22" i="14" s="1"/>
  <c r="AO35" i="14"/>
  <c r="O7" i="14" s="1"/>
  <c r="K24" i="14" l="1"/>
  <c r="L24" i="14"/>
  <c r="J24" i="14"/>
  <c r="I24" i="14"/>
  <c r="AP35" i="14"/>
  <c r="P7" i="14" s="1"/>
  <c r="AN6" i="14"/>
  <c r="AM33" i="14"/>
  <c r="M5" i="14" l="1"/>
  <c r="M24" i="14" s="1"/>
  <c r="AO6" i="14"/>
  <c r="AN33" i="14"/>
  <c r="N5" i="14" l="1"/>
  <c r="N24" i="14" s="1"/>
  <c r="AP6" i="14"/>
  <c r="AP33" i="14" s="1"/>
  <c r="AO33" i="14"/>
  <c r="O5" i="14" l="1"/>
  <c r="O24" i="14" s="1"/>
  <c r="P5" i="14"/>
  <c r="P24" i="14" s="1"/>
  <c r="B64" i="10"/>
  <c r="B55" i="10"/>
  <c r="B54" i="10"/>
  <c r="B53" i="10"/>
  <c r="B50" i="10"/>
  <c r="B49" i="10"/>
  <c r="B48" i="10"/>
  <c r="B47" i="10"/>
  <c r="B46" i="10"/>
  <c r="B45" i="10"/>
  <c r="B44" i="10"/>
  <c r="B32" i="10"/>
  <c r="B25" i="10"/>
  <c r="B24" i="10"/>
  <c r="B23" i="10"/>
  <c r="B22" i="10"/>
  <c r="B18" i="10"/>
  <c r="B9" i="10"/>
  <c r="B4" i="10"/>
  <c r="B16" i="10"/>
  <c r="B15" i="10"/>
  <c r="B13" i="10"/>
  <c r="B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tc={F4E05A68-8771-4C71-B53A-EBB6BCEC797F}</author>
    <author>tc={330F4D27-D83B-4715-8ADE-68716F88C560}</author>
  </authors>
  <commentList>
    <comment ref="B3" authorId="0" shapeId="0" xr:uid="{F4E05A68-8771-4C71-B53A-EBB6BCEC797F}">
      <text>
        <t>[Threaded comment]
Your version of Excel allows you to read this threaded comment; however, any edits to it will get removed if the file is opened in a newer version of Excel. Learn more: https://go.microsoft.com/fwlink/?linkid=870924
Comment:
    Bienvenue</t>
      </text>
    </comment>
    <comment ref="B28" authorId="1" shapeId="0" xr:uid="{330F4D27-D83B-4715-8ADE-68716F88C560}">
      <text>
        <t>[Threaded comment]
Your version of Excel allows you to read this threaded comment; however, any edits to it will get removed if the file is opened in a newer version of Excel. Learn more: https://go.microsoft.com/fwlink/?linkid=870924
Comment:
    Est-ce quand il manque les m2 ou plutôt quand il manque les données de consommation de chaleur ? 
Evt. Remplacer élèves par étudiants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tc={34F4C559-C936-4322-8E07-78C51D40C880}</author>
  </authors>
  <commentList>
    <comment ref="B26" authorId="0" shapeId="0" xr:uid="{34F4C559-C936-4322-8E07-78C51D40C880}">
      <text>
        <t>[Threaded comment]
Your version of Excel allows you to read this threaded comment; however, any edits to it will get removed if the file is opened in a newer version of Excel. Learn more: https://go.microsoft.com/fwlink/?linkid=870924
Comment:
    Evt ajouter une colonne pour chiffrer combien cela coûtera</t>
      </text>
    </comment>
  </commentList>
</comments>
</file>

<file path=xl/sharedStrings.xml><?xml version="1.0" encoding="utf-8"?>
<sst xmlns="http://schemas.openxmlformats.org/spreadsheetml/2006/main" count="409" uniqueCount="196">
  <si>
    <t>Production</t>
  </si>
  <si>
    <t>Année</t>
  </si>
  <si>
    <t>Année construction du bâtiment</t>
  </si>
  <si>
    <t>Chauffage à distance</t>
  </si>
  <si>
    <t>Mazout</t>
  </si>
  <si>
    <t>Gaz</t>
  </si>
  <si>
    <t>Pompe à chaleur</t>
  </si>
  <si>
    <t>Electrique</t>
  </si>
  <si>
    <t>Bois</t>
  </si>
  <si>
    <t>Dans une zone d'activité?</t>
  </si>
  <si>
    <t>oui</t>
  </si>
  <si>
    <t>Desserte par les TP ?</t>
  </si>
  <si>
    <t>Pas bonne</t>
  </si>
  <si>
    <t xml:space="preserve">Bonne </t>
  </si>
  <si>
    <t>kWh/m2</t>
  </si>
  <si>
    <t>Place de parc disponibles pour les collaborateur (en %)</t>
  </si>
  <si>
    <t>Place pour les vélos ?</t>
  </si>
  <si>
    <t>non</t>
  </si>
  <si>
    <t>Mix</t>
  </si>
  <si>
    <t>Emission CO2</t>
  </si>
  <si>
    <t>tCO2</t>
  </si>
  <si>
    <t>Chauffage</t>
  </si>
  <si>
    <t>Electricité</t>
  </si>
  <si>
    <t>Mobilité pendulaire</t>
  </si>
  <si>
    <t>Déchets</t>
  </si>
  <si>
    <t>Papier</t>
  </si>
  <si>
    <t>Eau</t>
  </si>
  <si>
    <t>Fret</t>
  </si>
  <si>
    <t>Total</t>
  </si>
  <si>
    <t>tkm</t>
  </si>
  <si>
    <t>FE</t>
  </si>
  <si>
    <t>Catégorie</t>
  </si>
  <si>
    <t xml:space="preserve">Année de réalisation </t>
  </si>
  <si>
    <t>Réduction CO2</t>
  </si>
  <si>
    <t>Mesures</t>
  </si>
  <si>
    <t>xxx</t>
  </si>
  <si>
    <t>Mobilité professionnelle transports publics</t>
  </si>
  <si>
    <t>Mobilité professionnelle voiture entreprises</t>
  </si>
  <si>
    <t>Mobilité professionnelle voiture privées</t>
  </si>
  <si>
    <t xml:space="preserve">Transport marchandises </t>
  </si>
  <si>
    <t>Mobilité des personnes</t>
  </si>
  <si>
    <t>Transport véhicules d'entreprise</t>
  </si>
  <si>
    <t>Transport sous-traité</t>
  </si>
  <si>
    <t>Repas</t>
  </si>
  <si>
    <t>Repas chaud avec viande (Nombre)</t>
  </si>
  <si>
    <t>Repas chaud végétarien (Nombre)</t>
  </si>
  <si>
    <t>Repas froid avec viande (Nombre)</t>
  </si>
  <si>
    <t>Repas froid végétarien (Nombre)</t>
  </si>
  <si>
    <t>Service nettoyage textile (kg)</t>
  </si>
  <si>
    <t xml:space="preserve">Service </t>
  </si>
  <si>
    <t>Scope</t>
  </si>
  <si>
    <t>Déchets alimentaires (kg)</t>
  </si>
  <si>
    <t>Incinération des déchets</t>
  </si>
  <si>
    <t xml:space="preserve"> </t>
  </si>
  <si>
    <t xml:space="preserve">Libellé </t>
  </si>
  <si>
    <t>Unité</t>
  </si>
  <si>
    <t>Valeur</t>
  </si>
  <si>
    <t>Collaborateurs Bureau</t>
  </si>
  <si>
    <t>Surface m2</t>
  </si>
  <si>
    <t>Nécessité</t>
  </si>
  <si>
    <t>Obligatoire</t>
  </si>
  <si>
    <t>Facultatif</t>
  </si>
  <si>
    <t>Recommandé</t>
  </si>
  <si>
    <t>m2</t>
  </si>
  <si>
    <t>nb</t>
  </si>
  <si>
    <t xml:space="preserve">Scope 1 </t>
  </si>
  <si>
    <t>kWh</t>
  </si>
  <si>
    <t>Chauffage du bâtiment</t>
  </si>
  <si>
    <t>Collaborateurs (non-ETP inclus)</t>
  </si>
  <si>
    <t>Type de chauffage / energie</t>
  </si>
  <si>
    <t>Consommation annuelle</t>
  </si>
  <si>
    <t>Scope 1</t>
  </si>
  <si>
    <t>MWh</t>
  </si>
  <si>
    <t>Courant Vert en pourcentage</t>
  </si>
  <si>
    <t>%</t>
  </si>
  <si>
    <t xml:space="preserve">Scope 2 </t>
  </si>
  <si>
    <t>Dans une zone d'activité ?</t>
  </si>
  <si>
    <t xml:space="preserve">Desserte par les TP ? </t>
  </si>
  <si>
    <t>Taux d'abonnement disponibles</t>
  </si>
  <si>
    <r>
      <rPr>
        <b/>
        <sz val="11"/>
        <color theme="1"/>
        <rFont val="Calibri"/>
        <family val="2"/>
        <scheme val="minor"/>
      </rPr>
      <t>Mobilité - Situation</t>
    </r>
    <r>
      <rPr>
        <sz val="11"/>
        <color theme="1"/>
        <rFont val="Calibri"/>
        <family val="2"/>
        <scheme val="minor"/>
      </rPr>
      <t xml:space="preserve">
Les valeurs mises dans la section "situation" permettent de déduire les donneés de pendulaires quand elles n'ont pas été trouvée dans section 4.2.</t>
    </r>
  </si>
  <si>
    <t>km</t>
  </si>
  <si>
    <t>Distance parcourue par année. Véhicules électrique</t>
  </si>
  <si>
    <t>Trains</t>
  </si>
  <si>
    <t>Distance parcourue par année. Véhicules diesel</t>
  </si>
  <si>
    <t>Distance parcourue par année. Véhicules essence</t>
  </si>
  <si>
    <t>Distance parcourue par année. Véhicules Hybride</t>
  </si>
  <si>
    <t>Véhicules diesel, distance par année</t>
  </si>
  <si>
    <t>Véhicules essence, distance par année</t>
  </si>
  <si>
    <t>Véhicules Hybride, distance par année</t>
  </si>
  <si>
    <t xml:space="preserve">Véhicules électrique, distance par année </t>
  </si>
  <si>
    <t>Trains, distance par année</t>
  </si>
  <si>
    <t>Moto, distance par année</t>
  </si>
  <si>
    <t>Vélo, distance par année</t>
  </si>
  <si>
    <t>A pied, distance par année</t>
  </si>
  <si>
    <t>Bus, distance par année</t>
  </si>
  <si>
    <r>
      <rPr>
        <b/>
        <sz val="11"/>
        <color theme="1"/>
        <rFont val="Calibri"/>
        <family val="2"/>
        <scheme val="minor"/>
      </rPr>
      <t>Mobilité Pendulaire</t>
    </r>
    <r>
      <rPr>
        <sz val="11"/>
        <color theme="1"/>
        <rFont val="Calibri"/>
        <family val="2"/>
        <scheme val="minor"/>
      </rPr>
      <t xml:space="preserve">
La mobilité pendulaire peu être extrapolée en demandant quel employé voyage comment et combien de km sur une base hebdomadaire, ensuite multipliant par le nombre de semaine ou l'employé travaille.</t>
    </r>
  </si>
  <si>
    <t>Avion</t>
  </si>
  <si>
    <t>t</t>
  </si>
  <si>
    <t>Quantités transportées annuelle</t>
  </si>
  <si>
    <t>Distance moyenne du transport</t>
  </si>
  <si>
    <t>Véhicules d'entreprises</t>
  </si>
  <si>
    <r>
      <rPr>
        <b/>
        <sz val="14"/>
        <color theme="1"/>
        <rFont val="Calibri (Body)"/>
      </rPr>
      <t>Mobilité et Transport</t>
    </r>
    <r>
      <rPr>
        <b/>
        <sz val="11"/>
        <color theme="1"/>
        <rFont val="Calibri"/>
        <family val="2"/>
        <scheme val="minor"/>
      </rPr>
      <t xml:space="preserve">
</t>
    </r>
    <r>
      <rPr>
        <sz val="11"/>
        <color theme="1"/>
        <rFont val="Calibri"/>
        <family val="2"/>
        <scheme val="minor"/>
      </rPr>
      <t xml:space="preserve">Dans la section mobilité nous observons la mobilité des peronnes pendulaire, les déplacements professionnels et les transports de marchandises </t>
    </r>
  </si>
  <si>
    <t>Scope 3.04</t>
  </si>
  <si>
    <t>Scope 3.01</t>
  </si>
  <si>
    <t>Scope 3.07</t>
  </si>
  <si>
    <t>kg</t>
  </si>
  <si>
    <t>Sous-Traitance</t>
  </si>
  <si>
    <t>Service Nettoyage textile</t>
  </si>
  <si>
    <t>Incinération des déchets (envoi)</t>
  </si>
  <si>
    <t xml:space="preserve">Déchets alimentaires </t>
  </si>
  <si>
    <t>eau</t>
  </si>
  <si>
    <t>tco2eq</t>
  </si>
  <si>
    <t>Automatique</t>
  </si>
  <si>
    <t>Nr</t>
  </si>
  <si>
    <t>Type d'Energie</t>
  </si>
  <si>
    <t>Surface detectée</t>
  </si>
  <si>
    <t xml:space="preserve">Besoin estimé </t>
  </si>
  <si>
    <t>Facteurs d'émission (FE) en tCO2/MJ</t>
  </si>
  <si>
    <t>Besoins de chauffage annuel MJ/m2</t>
  </si>
  <si>
    <t>Commentaire</t>
  </si>
  <si>
    <t>Type d'energie detectée</t>
  </si>
  <si>
    <t xml:space="preserve">FE detecté </t>
  </si>
  <si>
    <t>FE detecté (tCO2/MJ)</t>
  </si>
  <si>
    <t>FE Convertis (tCO2/TJ)</t>
  </si>
  <si>
    <t>FE Convertis (tCO2/MWh)</t>
  </si>
  <si>
    <t>Table 1 -  le calcul de Chauffage</t>
  </si>
  <si>
    <t>Table 2 -  calcul de Chauffage pour Production</t>
  </si>
  <si>
    <t>Table 3 - calcul de Consommation d'électricité des bâtiments</t>
  </si>
  <si>
    <t>Standard</t>
  </si>
  <si>
    <t>Vert</t>
  </si>
  <si>
    <t>Résultat calcul</t>
  </si>
  <si>
    <t>Besoin d'energie pour la production</t>
  </si>
  <si>
    <t>kWh estimé (oui/non)</t>
  </si>
  <si>
    <t>choix</t>
  </si>
  <si>
    <t>Type chauffage / energie</t>
  </si>
  <si>
    <t>Table 4 - calcul pour la Mobilité</t>
  </si>
  <si>
    <t>Disponibilité abonnement</t>
  </si>
  <si>
    <t>Réponse detectée</t>
  </si>
  <si>
    <t>Nombre de place de parking</t>
  </si>
  <si>
    <t>Ratio de nombre de place par personne</t>
  </si>
  <si>
    <t xml:space="preserve">Place disponible pour les vélos ? </t>
  </si>
  <si>
    <t>Taux disponibilité estimé</t>
  </si>
  <si>
    <t>Changement par rapport a la version de Werner, ou je prends les nb place de park et estime un %, plustot que de demander au user de faire le calcul off- plateforme</t>
  </si>
  <si>
    <t>Table 5 - calcul pour déplacement professionnelle</t>
  </si>
  <si>
    <t>Table 6 - calcul pour Transport de Marchandise</t>
  </si>
  <si>
    <t>Resultat Calcul FE</t>
  </si>
  <si>
    <t>Table 6 - calcul pour Repas</t>
  </si>
  <si>
    <t>Table 7 - calcul pour Textiles</t>
  </si>
  <si>
    <t>Table 8 - calcul pour Déchets</t>
  </si>
  <si>
    <t>Table 9 - calcul pour Incinération</t>
  </si>
  <si>
    <t>Surface Estimée</t>
  </si>
  <si>
    <t>Table 10 - calcul pour Pendulaire</t>
  </si>
  <si>
    <t>Vélo électrique, par année</t>
  </si>
  <si>
    <t>gas = 0.000338</t>
  </si>
  <si>
    <t>fc = 2.37</t>
  </si>
  <si>
    <t>gas = 0.000321</t>
  </si>
  <si>
    <t>converted with fc</t>
  </si>
  <si>
    <t>converted with moyenne fc</t>
  </si>
  <si>
    <t>faux (2x mobilité pendulaire)</t>
  </si>
  <si>
    <t>Planification</t>
  </si>
  <si>
    <t>Bilan CO2</t>
  </si>
  <si>
    <r>
      <t xml:space="preserve">Consommation d'électricité </t>
    </r>
    <r>
      <rPr>
        <sz val="14"/>
        <color theme="1"/>
        <rFont val="Calibri"/>
        <family val="2"/>
        <scheme val="minor"/>
      </rPr>
      <t xml:space="preserve">
</t>
    </r>
    <r>
      <rPr>
        <b/>
        <sz val="11"/>
        <color theme="1"/>
        <rFont val="Calibri (Body)"/>
      </rPr>
      <t>Explication de la question 3.2</t>
    </r>
    <r>
      <rPr>
        <sz val="11"/>
        <color theme="1"/>
        <rFont val="Calibri (Body)"/>
      </rPr>
      <t xml:space="preserve">
</t>
    </r>
    <r>
      <rPr>
        <i/>
        <sz val="11"/>
        <color theme="1"/>
        <rFont val="Calibri (Body)"/>
      </rPr>
      <t xml:space="preserve">Quel pourcentage de l'énergie consommée ou achetée par une entreprise est issue de sources renouvelables (courant vert)? </t>
    </r>
    <r>
      <rPr>
        <sz val="11"/>
        <color theme="1"/>
        <rFont val="Calibri (Body)"/>
      </rPr>
      <t xml:space="preserve">
1) Pour prétendre utiliser 100% d'énergie verte, une entreprise doit prouver par facture un achat de 100%, sans recourir à des compensations ou méthodes indirectes.
2) Une moyenne est automatiquement extrapolée avec le mix énergétique suisse si ce n'est pas le cas.</t>
    </r>
  </si>
  <si>
    <r>
      <rPr>
        <b/>
        <sz val="14"/>
        <color theme="1"/>
        <rFont val="Calibri (Body)"/>
      </rPr>
      <t>Information Clés</t>
    </r>
    <r>
      <rPr>
        <sz val="11"/>
        <color theme="1"/>
        <rFont val="Calibri"/>
        <family val="2"/>
        <scheme val="minor"/>
      </rPr>
      <t xml:space="preserve">
Les informations obligatoires sont nécessaire pour extrapoler des montant généralisé de tCO2 quand il y a un déficit de données
Par exemple:
    -1.1 permet d'extrapoler les déchets et l'eau consommée
    -1.3 permet d'estimer un besoin énergétique.</t>
    </r>
  </si>
  <si>
    <r>
      <rPr>
        <b/>
        <sz val="14"/>
        <color theme="1"/>
        <rFont val="Calibri (Body)"/>
      </rPr>
      <t>Chauffage</t>
    </r>
    <r>
      <rPr>
        <sz val="11"/>
        <color theme="1"/>
        <rFont val="Calibri"/>
        <family val="2"/>
        <scheme val="minor"/>
      </rPr>
      <t xml:space="preserve">
L'année de construction d'un bâtiment permet de deduire un besoin de chauffage quand les valuers en 2.2 ne sont pas trouvée.</t>
    </r>
  </si>
  <si>
    <r>
      <rPr>
        <b/>
        <sz val="11"/>
        <color theme="1"/>
        <rFont val="Calibri"/>
        <family val="2"/>
        <scheme val="minor"/>
      </rPr>
      <t xml:space="preserve">Déplacements professionnels 
</t>
    </r>
    <r>
      <rPr>
        <sz val="11"/>
        <color theme="1"/>
        <rFont val="Calibri"/>
        <family val="2"/>
        <scheme val="minor"/>
      </rPr>
      <t>Les déplacements professionnels incluent les trajets liés à l'activité, comme les visites clients. Ils peuvent être effectués avec un véhicule d'entreprise ou privé, influençant l'allocation du Scope. D'où la question 4.3.5.
Les notes de frais permettent de déterminer si un déplacement s'est fait en voiture ou en train. Pour les trajets en voiture, divisez le total remboursé par le prix au km (CHF 0.70). L'impact du train est faible.</t>
    </r>
  </si>
  <si>
    <t>% véhicules d'entreprises</t>
  </si>
  <si>
    <r>
      <rPr>
        <b/>
        <sz val="11"/>
        <color theme="1"/>
        <rFont val="Calibri"/>
        <family val="2"/>
        <scheme val="minor"/>
      </rPr>
      <t>Transport de marchandises</t>
    </r>
    <r>
      <rPr>
        <sz val="11"/>
        <color theme="1"/>
        <rFont val="Calibri"/>
        <family val="2"/>
        <scheme val="minor"/>
      </rPr>
      <t xml:space="preserve">
Les transports de marchandises se font avec des véhicules d'entreprise ou sous-traités (logistique). Le % du 4.4.3 permet cette répartition. Les quantités transportées et les distances moyennes doivent être estimées.
4.4.1 Pas besoin de distinguer les fournisseurs, seulement le volume total.
4.4.2 Fournir la moyenne annuelle des distances de transport des produits.</t>
    </r>
  </si>
  <si>
    <r>
      <rPr>
        <b/>
        <sz val="14"/>
        <color theme="1"/>
        <rFont val="Calibri (Body)"/>
      </rPr>
      <t>Déchets</t>
    </r>
    <r>
      <rPr>
        <sz val="11"/>
        <color theme="1"/>
        <rFont val="Calibri"/>
        <family val="2"/>
        <scheme val="minor"/>
      </rPr>
      <t xml:space="preserve">
Les déchets sont estimé a partir de différents proxy. Aux déchets alimtentaires sont ajoutés une estimation extrapolée par rapport au nombre de collaborateurs.</t>
    </r>
  </si>
  <si>
    <t xml:space="preserve">(1) Formulaire </t>
  </si>
  <si>
    <t>(2) Mesure de reduction</t>
  </si>
  <si>
    <t xml:space="preserve"> Scope 3.07</t>
  </si>
  <si>
    <t>SumProduct des tCO2</t>
  </si>
  <si>
    <t>(1) Formulaire</t>
  </si>
  <si>
    <t>(2) Impact et Mesure</t>
  </si>
  <si>
    <t>(3) Behind the Scenes</t>
  </si>
  <si>
    <t xml:space="preserve">Bienvenu dans votre outil de Bilan Carbone ! </t>
  </si>
  <si>
    <r>
      <t xml:space="preserve">Vous avez maintenant réussi à récupérer les données de votre client, et il est temps de générer son bilan carbone.
Dans ce fichier Excel, vous touverez 3 fiches :
</t>
    </r>
    <r>
      <rPr>
        <b/>
        <sz val="12"/>
        <color theme="1"/>
        <rFont val="Calibri"/>
        <family val="2"/>
        <scheme val="minor"/>
      </rPr>
      <t xml:space="preserve">(1) Formulaire
(2) Bilan et Mesures
(3) Behind the Scenes
</t>
    </r>
    <r>
      <rPr>
        <sz val="12"/>
        <color theme="1"/>
        <rFont val="Calibri"/>
        <family val="2"/>
        <scheme val="minor"/>
      </rPr>
      <t xml:space="preserve">
</t>
    </r>
  </si>
  <si>
    <r>
      <t>Nautrellement, le plus vous arrivez à remplir les champs "</t>
    </r>
    <r>
      <rPr>
        <b/>
        <sz val="11"/>
        <color theme="7"/>
        <rFont val="Calibri (Body)"/>
      </rPr>
      <t>Recommandé</t>
    </r>
    <r>
      <rPr>
        <b/>
        <sz val="11"/>
        <color theme="1"/>
        <rFont val="Calibri"/>
        <family val="2"/>
        <scheme val="minor"/>
      </rPr>
      <t>"</t>
    </r>
    <r>
      <rPr>
        <sz val="11"/>
        <color theme="1"/>
        <rFont val="Calibri"/>
        <family val="2"/>
        <scheme val="minor"/>
      </rPr>
      <t xml:space="preserve"> et "</t>
    </r>
    <r>
      <rPr>
        <b/>
        <sz val="11"/>
        <color theme="9"/>
        <rFont val="Calibri (Body)"/>
      </rPr>
      <t>Facultatif</t>
    </r>
    <r>
      <rPr>
        <b/>
        <sz val="11"/>
        <color theme="1"/>
        <rFont val="Calibri"/>
        <family val="2"/>
        <scheme val="minor"/>
      </rPr>
      <t>"</t>
    </r>
    <r>
      <rPr>
        <sz val="11"/>
        <color theme="1"/>
        <rFont val="Calibri"/>
        <family val="2"/>
        <scheme val="minor"/>
      </rPr>
      <t>, le plus vous aurez un bilan final ainsi que des recommandations plus pertinnentes.
Sans les champs "</t>
    </r>
    <r>
      <rPr>
        <b/>
        <sz val="11"/>
        <color rgb="FFFF7E79"/>
        <rFont val="Calibri (Body)"/>
      </rPr>
      <t>Obligatoire</t>
    </r>
    <r>
      <rPr>
        <sz val="11"/>
        <color theme="1"/>
        <rFont val="Calibri"/>
        <family val="2"/>
        <scheme val="minor"/>
      </rPr>
      <t>" vous n'arriverez pas à avoir un bilan complet.</t>
    </r>
  </si>
  <si>
    <r>
      <rPr>
        <b/>
        <sz val="12"/>
        <color theme="1"/>
        <rFont val="Calibri"/>
        <family val="2"/>
        <scheme val="minor"/>
      </rPr>
      <t xml:space="preserve">! Important - cellules modifiables ! </t>
    </r>
    <r>
      <rPr>
        <sz val="12"/>
        <color theme="1"/>
        <rFont val="Calibri"/>
        <family val="2"/>
        <scheme val="minor"/>
      </rPr>
      <t xml:space="preserve">
Dans les 3 fiches, toutes les cellules en jaune sont modifiables par l'utilisateur et c'est là que vous devez entrer les informations.</t>
    </r>
  </si>
  <si>
    <r>
      <t xml:space="preserve">Dans la fiche </t>
    </r>
    <r>
      <rPr>
        <b/>
        <sz val="11"/>
        <color theme="1"/>
        <rFont val="Calibri"/>
        <family val="2"/>
        <scheme val="minor"/>
      </rPr>
      <t>(1) Formulaire</t>
    </r>
    <r>
      <rPr>
        <sz val="11"/>
        <color theme="1"/>
        <rFont val="Calibri"/>
        <family val="2"/>
        <scheme val="minor"/>
      </rPr>
      <t xml:space="preserve"> vous entrerez les valeurs collectées lors de vos interviews avec votre client. Vous pourrez vérifier s'il manque des informations et voir des détails sur notre méthode de gestion des informations manquantes.
</t>
    </r>
    <r>
      <rPr>
        <b/>
        <sz val="11"/>
        <color theme="1"/>
        <rFont val="Calibri"/>
        <family val="2"/>
        <scheme val="minor"/>
      </rPr>
      <t>A)</t>
    </r>
    <r>
      <rPr>
        <sz val="11"/>
        <color theme="1"/>
        <rFont val="Calibri"/>
        <family val="2"/>
        <scheme val="minor"/>
      </rPr>
      <t xml:space="preserve"> Vous y trouverez des explications sur les différentes sections du formulaire ainsi qu'une colonne "</t>
    </r>
    <r>
      <rPr>
        <b/>
        <sz val="11"/>
        <color theme="1"/>
        <rFont val="Calibri"/>
        <family val="2"/>
        <scheme val="minor"/>
      </rPr>
      <t>Nécessité</t>
    </r>
    <r>
      <rPr>
        <sz val="11"/>
        <color theme="1"/>
        <rFont val="Calibri"/>
        <family val="2"/>
        <scheme val="minor"/>
      </rPr>
      <t xml:space="preserve">". Celle-ci vous indique a quel point une donnée est nécessaire: </t>
    </r>
  </si>
  <si>
    <r>
      <rPr>
        <b/>
        <sz val="11"/>
        <color theme="1"/>
        <rFont val="Calibri"/>
        <family val="2"/>
        <scheme val="minor"/>
      </rPr>
      <t>B)</t>
    </r>
    <r>
      <rPr>
        <sz val="11"/>
        <color theme="1"/>
        <rFont val="Calibri"/>
        <family val="2"/>
        <scheme val="minor"/>
      </rPr>
      <t xml:space="preserve"> Vous trouverez aussi trois questions à </t>
    </r>
    <r>
      <rPr>
        <b/>
        <sz val="11"/>
        <color theme="1"/>
        <rFont val="Calibri"/>
        <family val="2"/>
        <scheme val="minor"/>
      </rPr>
      <t>menu déroulant</t>
    </r>
    <r>
      <rPr>
        <sz val="11"/>
        <color theme="1"/>
        <rFont val="Calibri"/>
        <family val="2"/>
        <scheme val="minor"/>
      </rPr>
      <t xml:space="preserve"> qu'il y a dans la partie 2 (Chauffage) du formulaire avec la couleur suivante: </t>
    </r>
  </si>
  <si>
    <t>Une réponse est obligatoire dans ces menu déroulant.</t>
  </si>
  <si>
    <r>
      <t xml:space="preserve">Dans la fiche </t>
    </r>
    <r>
      <rPr>
        <b/>
        <sz val="11"/>
        <color theme="1"/>
        <rFont val="Calibri"/>
        <family val="2"/>
        <scheme val="minor"/>
      </rPr>
      <t>(3) Behind the Scenes</t>
    </r>
    <r>
      <rPr>
        <sz val="11"/>
        <color theme="1"/>
        <rFont val="Calibri"/>
        <family val="2"/>
        <scheme val="minor"/>
      </rPr>
      <t xml:space="preserve">, vous trouverez le détail de nos méthodes d'extrapolation des informations manquantes. Vous comprendrez comment nous estimons par exemple les déchets, l'utilisation d'eau ou de chauffage (quand il manque les m²), entres autres.
Cette fiche a un but informatif pour que les élèves comprennent le fonctionnement derrière la création d'un outil simple de calcul de bilan carbone. </t>
    </r>
  </si>
  <si>
    <r>
      <t>Dans la fiche</t>
    </r>
    <r>
      <rPr>
        <b/>
        <sz val="11"/>
        <color theme="1"/>
        <rFont val="Calibri"/>
        <family val="2"/>
        <scheme val="minor"/>
      </rPr>
      <t xml:space="preserve"> (2) Impact et Mesure</t>
    </r>
    <r>
      <rPr>
        <sz val="11"/>
        <color theme="1"/>
        <rFont val="Calibri"/>
        <family val="2"/>
        <scheme val="minor"/>
      </rPr>
      <t xml:space="preserve">, vous trouverez les champs en Jaune pour saisir les mesures que vous avez recommandées au client et voir l'impact qu'elles ont sur le bilan carbone au fil des années. 
Le nombre de mesures est limité à 16. Il est néamoins pas nécessaire d'en fournir 16, tant que les mesures ont un impacte signifactif sur le bilan carbone de l'entreprise. 
</t>
    </r>
    <r>
      <rPr>
        <b/>
        <sz val="11"/>
        <color theme="1"/>
        <rFont val="Calibri"/>
        <family val="2"/>
        <scheme val="minor"/>
      </rPr>
      <t xml:space="preserve">Explications pour la saisie: </t>
    </r>
    <r>
      <rPr>
        <sz val="11"/>
        <color theme="1"/>
        <rFont val="Calibri"/>
        <family val="2"/>
        <scheme val="minor"/>
      </rPr>
      <t xml:space="preserve">
</t>
    </r>
    <r>
      <rPr>
        <b/>
        <sz val="11"/>
        <color theme="1"/>
        <rFont val="Calibri"/>
        <family val="2"/>
        <scheme val="minor"/>
      </rPr>
      <t xml:space="preserve">Colonne "Mesure" </t>
    </r>
    <r>
      <rPr>
        <sz val="11"/>
        <color theme="1"/>
        <rFont val="Calibri"/>
        <family val="2"/>
        <scheme val="minor"/>
      </rPr>
      <t xml:space="preserve">- vous écrivez le nom de la mesure librement, elle devrait être descriptive est compréhensible au client en un clin d'oeil.
</t>
    </r>
    <r>
      <rPr>
        <b/>
        <sz val="11"/>
        <color theme="1"/>
        <rFont val="Calibri"/>
        <family val="2"/>
        <scheme val="minor"/>
      </rPr>
      <t>Colonne</t>
    </r>
    <r>
      <rPr>
        <sz val="11"/>
        <color theme="1"/>
        <rFont val="Calibri"/>
        <family val="2"/>
        <scheme val="minor"/>
      </rPr>
      <t xml:space="preserve"> "</t>
    </r>
    <r>
      <rPr>
        <b/>
        <sz val="11"/>
        <color theme="1"/>
        <rFont val="Calibri"/>
        <family val="2"/>
        <scheme val="minor"/>
      </rPr>
      <t>Catégorie</t>
    </r>
    <r>
      <rPr>
        <sz val="11"/>
        <color theme="1"/>
        <rFont val="Calibri"/>
        <family val="2"/>
        <scheme val="minor"/>
      </rPr>
      <t xml:space="preserve">" - ici vous choissez au moyen d'un menu déroulant quel catégorie sera impactée par la mesure. 
</t>
    </r>
    <r>
      <rPr>
        <b/>
        <sz val="11"/>
        <color theme="1"/>
        <rFont val="Calibri"/>
        <family val="2"/>
        <scheme val="minor"/>
      </rPr>
      <t>Colonne "Année de réalisation"</t>
    </r>
    <r>
      <rPr>
        <sz val="11"/>
        <color theme="1"/>
        <rFont val="Calibri"/>
        <family val="2"/>
        <scheme val="minor"/>
      </rPr>
      <t xml:space="preserve"> - vous stipulez l'année ou l'initative sera implémentée et commencera à réduire l'impacte carbone. Vous ne pouvez pas stipulez des années après 2030. 
</t>
    </r>
    <r>
      <rPr>
        <b/>
        <sz val="11"/>
        <color theme="1"/>
        <rFont val="Calibri"/>
        <family val="2"/>
        <scheme val="minor"/>
      </rPr>
      <t>Colonne "Réduction CO2"</t>
    </r>
    <r>
      <rPr>
        <sz val="11"/>
        <color theme="1"/>
        <rFont val="Calibri"/>
        <family val="2"/>
        <scheme val="minor"/>
      </rPr>
      <t xml:space="preserve"> - la valeur en tonnes CO2  (tCO2) que votre mesure va réduire annuellement. 
</t>
    </r>
  </si>
  <si>
    <t xml:space="preserve"> Scope 3.05</t>
  </si>
  <si>
    <t>Coût de la mesure (CHF)</t>
  </si>
  <si>
    <r>
      <rPr>
        <b/>
        <sz val="14"/>
        <color theme="1"/>
        <rFont val="Calibri (Body)"/>
      </rPr>
      <t>Consommables (Estimations)</t>
    </r>
    <r>
      <rPr>
        <sz val="11"/>
        <color theme="1"/>
        <rFont val="Calibri"/>
        <family val="2"/>
        <scheme val="minor"/>
      </rPr>
      <t xml:space="preserve">
Les consomables pour le papier et l'eau sont estimé à partir de moyennes connues par Climate Services, en utilisant comme proxy le nombre d'employé  </t>
    </r>
  </si>
  <si>
    <t>Consommation électrique</t>
  </si>
  <si>
    <t>Scope 3.05</t>
  </si>
  <si>
    <t>Scope 3.06</t>
  </si>
  <si>
    <t>Consomables</t>
  </si>
  <si>
    <t>Consommables</t>
  </si>
  <si>
    <t>Scope 3.09</t>
  </si>
  <si>
    <t>Transport par les clients</t>
  </si>
  <si>
    <t xml:space="preserve">année de réalisation </t>
  </si>
  <si>
    <t>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</si>
</sst>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00"/>
    <numFmt numFmtId="165" formatCode="0.0000000"/>
    <numFmt numFmtId="166" formatCode="0.0"/>
    <numFmt numFmtId="167" formatCode="0.00000"/>
    <numFmt numFmtId="168" formatCode="0.0000000000"/>
  </numFmts>
  <fonts count="27">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4"/>
      <color theme="0"/>
      <name val="Calibri"/>
      <family val="2"/>
      <scheme val="minor"/>
    </font>
    <font>
      <b/>
      <sz val="11"/>
      <color theme="1"/>
      <name val="Calibri"/>
      <family val="2"/>
      <scheme val="minor"/>
    </font>
    <font>
      <sz val="8"/>
      <name val="Calibri"/>
      <family val="2"/>
      <scheme val="minor"/>
    </font>
    <font>
      <b/>
      <sz val="14"/>
      <color theme="1"/>
      <name val="Calibri (Body)"/>
    </font>
    <font>
      <b/>
      <sz val="14"/>
      <color theme="1"/>
      <name val="Calibri"/>
      <family val="2"/>
      <scheme val="minor"/>
    </font>
    <font>
      <sz val="14"/>
      <color theme="1"/>
      <name val="Calibri"/>
      <family val="2"/>
      <scheme val="minor"/>
    </font>
    <font>
      <sz val="11"/>
      <color theme="1"/>
      <name val="Calibri (Body)"/>
    </font>
    <font>
      <b/>
      <sz val="12"/>
      <color theme="0"/>
      <name val="Calibri"/>
      <family val="2"/>
      <scheme val="minor"/>
    </font>
    <font>
      <b/>
      <sz val="12"/>
      <color theme="1"/>
      <name val="Calibri"/>
      <family val="2"/>
      <scheme val="minor"/>
    </font>
    <font>
      <b/>
      <sz val="14"/>
      <color theme="0"/>
      <name val="Calibri"/>
      <family val="2"/>
      <scheme val="minor"/>
    </font>
    <font>
      <i/>
      <sz val="11"/>
      <color rgb="FFFF0000"/>
      <name val="Calibri"/>
      <family val="2"/>
      <scheme val="minor"/>
    </font>
    <font>
      <b/>
      <sz val="48"/>
      <color theme="1"/>
      <name val="Calibri"/>
      <family val="2"/>
      <scheme val="minor"/>
    </font>
    <font>
      <b/>
      <sz val="16"/>
      <color theme="0"/>
      <name val="Calibri"/>
      <family val="2"/>
      <scheme val="minor"/>
    </font>
    <font>
      <i/>
      <sz val="11"/>
      <color theme="1"/>
      <name val="Calibri (Body)"/>
    </font>
    <font>
      <b/>
      <sz val="11"/>
      <color theme="1"/>
      <name val="Calibri (Body)"/>
    </font>
    <font>
      <b/>
      <sz val="10"/>
      <color theme="0"/>
      <name val="Calibri"/>
      <family val="2"/>
      <scheme val="minor"/>
    </font>
    <font>
      <b/>
      <sz val="20"/>
      <color theme="0"/>
      <name val="Calibri"/>
      <family val="2"/>
      <scheme val="minor"/>
    </font>
    <font>
      <b/>
      <sz val="22"/>
      <color theme="0"/>
      <name val="Calibri"/>
      <family val="2"/>
      <scheme val="minor"/>
    </font>
    <font>
      <b/>
      <sz val="11"/>
      <color theme="7"/>
      <name val="Calibri (Body)"/>
    </font>
    <font>
      <b/>
      <sz val="11"/>
      <color theme="9"/>
      <name val="Calibri (Body)"/>
    </font>
    <font>
      <b/>
      <sz val="11"/>
      <color rgb="FFFF7E79"/>
      <name val="Calibri (Body)"/>
    </font>
    <font>
      <sz val="10"/>
      <name val="Arial"/>
      <family val="2"/>
    </font>
    <font>
      <sz val="11"/>
      <color theme="0"/>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FFA1"/>
        <bgColor indexed="64"/>
      </patternFill>
    </fill>
    <fill>
      <patternFill patternType="solid">
        <fgColor rgb="FF0070C0"/>
        <bgColor indexed="64"/>
      </patternFill>
    </fill>
    <fill>
      <patternFill patternType="solid">
        <fgColor theme="8"/>
        <bgColor indexed="64"/>
      </patternFill>
    </fill>
    <fill>
      <patternFill patternType="solid">
        <fgColor theme="4" tint="-0.249977111117893"/>
        <bgColor indexed="64"/>
      </patternFill>
    </fill>
    <fill>
      <patternFill patternType="solid">
        <fgColor theme="4"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s>
  <cellStyleXfs count="3">
    <xf numFmtId="0" fontId="0" fillId="0" borderId="0"/>
    <xf numFmtId="9" fontId="3" fillId="0" borderId="0" applyFont="0" applyFill="0" applyBorder="0" applyAlignment="0" applyProtection="0"/>
    <xf numFmtId="0" fontId="25" fillId="0" borderId="0"/>
  </cellStyleXfs>
  <cellXfs count="262">
    <xf numFmtId="0" fontId="0" fillId="0" borderId="0" xfId="0"/>
    <xf numFmtId="2" fontId="0" fillId="0" borderId="0" xfId="0" applyNumberFormat="1"/>
    <xf numFmtId="0" fontId="0" fillId="0" borderId="0" xfId="0" applyAlignment="1">
      <alignment horizontal="left" vertical="top"/>
    </xf>
    <xf numFmtId="0" fontId="0" fillId="0" borderId="0" xfId="0" applyAlignment="1">
      <alignment horizontal="right" vertical="top"/>
    </xf>
    <xf numFmtId="0" fontId="0" fillId="0" borderId="0" xfId="0" applyAlignment="1">
      <alignment horizontal="center"/>
    </xf>
    <xf numFmtId="0" fontId="5" fillId="0" borderId="0" xfId="0" applyFont="1" applyAlignment="1">
      <alignment horizontal="left" vertical="center"/>
    </xf>
    <xf numFmtId="0" fontId="19" fillId="14" borderId="14" xfId="0" applyFont="1" applyFill="1" applyBorder="1" applyAlignment="1">
      <alignment horizontal="left"/>
    </xf>
    <xf numFmtId="0" fontId="19" fillId="14" borderId="14" xfId="0" applyFont="1" applyFill="1" applyBorder="1" applyAlignment="1">
      <alignment horizontal="right"/>
    </xf>
    <xf numFmtId="0" fontId="19" fillId="14" borderId="14" xfId="0" applyFont="1" applyFill="1" applyBorder="1" applyAlignment="1">
      <alignment horizontal="center"/>
    </xf>
    <xf numFmtId="0" fontId="19" fillId="14" borderId="14" xfId="0" applyFont="1" applyFill="1" applyBorder="1" applyAlignment="1">
      <alignment horizontal="right" indent="1"/>
    </xf>
    <xf numFmtId="0" fontId="8" fillId="8" borderId="7" xfId="0" applyFont="1" applyFill="1" applyBorder="1" applyAlignment="1">
      <alignment horizontal="right" vertical="top"/>
    </xf>
    <xf numFmtId="0" fontId="0" fillId="8" borderId="8" xfId="0" applyFill="1" applyBorder="1" applyAlignment="1">
      <alignment horizontal="center" wrapText="1"/>
    </xf>
    <xf numFmtId="0" fontId="5" fillId="8" borderId="9" xfId="0" applyFont="1" applyFill="1" applyBorder="1" applyAlignment="1">
      <alignment vertical="top" wrapText="1"/>
    </xf>
    <xf numFmtId="0" fontId="0" fillId="0" borderId="2" xfId="0" applyBorder="1" applyAlignment="1">
      <alignment horizontal="right" vertical="top"/>
    </xf>
    <xf numFmtId="0" fontId="0" fillId="0" borderId="3" xfId="0" applyBorder="1" applyAlignment="1">
      <alignment horizontal="left" vertical="top"/>
    </xf>
    <xf numFmtId="0" fontId="0" fillId="0" borderId="3" xfId="0" applyBorder="1" applyAlignment="1">
      <alignment horizontal="center"/>
    </xf>
    <xf numFmtId="0" fontId="0" fillId="0" borderId="4" xfId="0" applyBorder="1" applyAlignment="1">
      <alignment horizontal="left" vertical="top"/>
    </xf>
    <xf numFmtId="0" fontId="0" fillId="0" borderId="5" xfId="0" applyBorder="1" applyAlignment="1">
      <alignment horizontal="right" vertical="top"/>
    </xf>
    <xf numFmtId="0" fontId="0" fillId="0" borderId="6" xfId="0" applyBorder="1" applyAlignment="1">
      <alignment horizontal="left" vertical="top"/>
    </xf>
    <xf numFmtId="0" fontId="0" fillId="0" borderId="7" xfId="0" applyBorder="1" applyAlignment="1">
      <alignment horizontal="right" vertical="top"/>
    </xf>
    <xf numFmtId="0" fontId="0" fillId="0" borderId="8" xfId="0" applyBorder="1" applyAlignment="1">
      <alignment horizontal="left" vertical="top"/>
    </xf>
    <xf numFmtId="0" fontId="0" fillId="0" borderId="8" xfId="0" applyBorder="1" applyAlignment="1">
      <alignment horizontal="center"/>
    </xf>
    <xf numFmtId="0" fontId="0" fillId="0" borderId="9" xfId="0" applyBorder="1" applyAlignment="1">
      <alignment horizontal="left" vertical="top"/>
    </xf>
    <xf numFmtId="0" fontId="8" fillId="8" borderId="11" xfId="0" applyFont="1" applyFill="1" applyBorder="1" applyAlignment="1">
      <alignment horizontal="right" vertical="top"/>
    </xf>
    <xf numFmtId="0" fontId="0" fillId="8" borderId="12" xfId="0" applyFill="1" applyBorder="1" applyAlignment="1">
      <alignment horizontal="center"/>
    </xf>
    <xf numFmtId="0" fontId="0" fillId="8" borderId="13" xfId="0" applyFill="1" applyBorder="1" applyAlignment="1">
      <alignment horizontal="left" vertical="top"/>
    </xf>
    <xf numFmtId="0" fontId="5" fillId="10" borderId="11" xfId="0" applyFont="1" applyFill="1" applyBorder="1" applyAlignment="1">
      <alignment horizontal="right" vertical="top"/>
    </xf>
    <xf numFmtId="0" fontId="5" fillId="10" borderId="12" xfId="0" applyFont="1" applyFill="1" applyBorder="1" applyAlignment="1">
      <alignment vertical="top"/>
    </xf>
    <xf numFmtId="0" fontId="5" fillId="10" borderId="12" xfId="0" applyFont="1" applyFill="1" applyBorder="1" applyAlignment="1">
      <alignment horizontal="right" vertical="top"/>
    </xf>
    <xf numFmtId="0" fontId="0" fillId="10" borderId="12" xfId="0" applyFill="1" applyBorder="1" applyAlignment="1">
      <alignment horizontal="center"/>
    </xf>
    <xf numFmtId="0" fontId="5" fillId="10" borderId="13" xfId="0" applyFont="1" applyFill="1" applyBorder="1" applyAlignment="1">
      <alignment vertical="top"/>
    </xf>
    <xf numFmtId="0" fontId="5" fillId="10" borderId="12" xfId="0" applyFont="1" applyFill="1" applyBorder="1" applyAlignment="1">
      <alignment horizontal="left" vertical="top"/>
    </xf>
    <xf numFmtId="0" fontId="0" fillId="10" borderId="12" xfId="0" applyFill="1" applyBorder="1" applyAlignment="1">
      <alignment horizontal="left" vertical="top"/>
    </xf>
    <xf numFmtId="0" fontId="0" fillId="10" borderId="12" xfId="0" applyFill="1" applyBorder="1" applyAlignment="1">
      <alignment horizontal="right" vertical="top"/>
    </xf>
    <xf numFmtId="0" fontId="0" fillId="10" borderId="13" xfId="0" applyFill="1" applyBorder="1" applyAlignment="1">
      <alignment horizontal="left" vertical="top"/>
    </xf>
    <xf numFmtId="0" fontId="8" fillId="9" borderId="11" xfId="0" applyFont="1" applyFill="1" applyBorder="1" applyAlignment="1">
      <alignment horizontal="right" vertical="top"/>
    </xf>
    <xf numFmtId="0" fontId="5" fillId="9" borderId="12" xfId="0" applyFont="1" applyFill="1" applyBorder="1" applyAlignment="1">
      <alignment horizontal="center" wrapText="1"/>
    </xf>
    <xf numFmtId="0" fontId="5" fillId="9" borderId="13" xfId="0" applyFont="1" applyFill="1" applyBorder="1" applyAlignment="1">
      <alignment vertical="top" wrapText="1"/>
    </xf>
    <xf numFmtId="0" fontId="0" fillId="10" borderId="2" xfId="0" applyFill="1" applyBorder="1" applyAlignment="1">
      <alignment horizontal="right" vertical="top"/>
    </xf>
    <xf numFmtId="0" fontId="0" fillId="10" borderId="3" xfId="0" applyFill="1" applyBorder="1" applyAlignment="1">
      <alignment horizontal="center" wrapText="1"/>
    </xf>
    <xf numFmtId="0" fontId="0" fillId="10" borderId="4" xfId="0" applyFill="1" applyBorder="1" applyAlignment="1">
      <alignment vertical="top" wrapText="1"/>
    </xf>
    <xf numFmtId="0" fontId="0" fillId="0" borderId="19" xfId="0" applyBorder="1" applyAlignment="1">
      <alignment horizontal="right" vertical="top"/>
    </xf>
    <xf numFmtId="0" fontId="0" fillId="0" borderId="21" xfId="0" applyBorder="1" applyAlignment="1">
      <alignment horizontal="left" vertical="top"/>
    </xf>
    <xf numFmtId="0" fontId="0" fillId="0" borderId="21" xfId="0" applyBorder="1" applyAlignment="1">
      <alignment horizontal="center"/>
    </xf>
    <xf numFmtId="0" fontId="0" fillId="0" borderId="22" xfId="0" applyBorder="1" applyAlignment="1">
      <alignment horizontal="left" vertical="top"/>
    </xf>
    <xf numFmtId="0" fontId="0" fillId="0" borderId="20" xfId="0" applyBorder="1" applyAlignment="1">
      <alignment horizontal="right" vertical="top"/>
    </xf>
    <xf numFmtId="0" fontId="0" fillId="0" borderId="25"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center"/>
    </xf>
    <xf numFmtId="10" fontId="0" fillId="0" borderId="0" xfId="0" applyNumberFormat="1" applyAlignment="1">
      <alignment horizontal="right" vertical="center"/>
    </xf>
    <xf numFmtId="0" fontId="0" fillId="0" borderId="25" xfId="0" applyBorder="1" applyAlignment="1">
      <alignment horizontal="left" vertical="center"/>
    </xf>
    <xf numFmtId="0" fontId="0" fillId="0" borderId="23" xfId="0" applyBorder="1" applyAlignment="1">
      <alignment horizontal="right" vertical="top"/>
    </xf>
    <xf numFmtId="0" fontId="0" fillId="0" borderId="24" xfId="0" applyBorder="1" applyAlignment="1">
      <alignment horizontal="left" vertical="top"/>
    </xf>
    <xf numFmtId="0" fontId="0" fillId="0" borderId="24" xfId="0" applyBorder="1" applyAlignment="1">
      <alignment horizontal="center"/>
    </xf>
    <xf numFmtId="0" fontId="0" fillId="0" borderId="18" xfId="0" applyBorder="1" applyAlignment="1">
      <alignment horizontal="left" vertical="top"/>
    </xf>
    <xf numFmtId="0" fontId="0" fillId="10" borderId="11" xfId="0" applyFill="1" applyBorder="1" applyAlignment="1">
      <alignment horizontal="right" vertical="top"/>
    </xf>
    <xf numFmtId="0" fontId="0" fillId="0" borderId="3" xfId="0" applyBorder="1"/>
    <xf numFmtId="0" fontId="0" fillId="0" borderId="8" xfId="0" applyBorder="1"/>
    <xf numFmtId="0" fontId="8" fillId="9" borderId="12" xfId="0" applyFont="1" applyFill="1" applyBorder="1" applyAlignment="1">
      <alignment horizontal="left" vertical="top"/>
    </xf>
    <xf numFmtId="0" fontId="0" fillId="9" borderId="12" xfId="0" applyFill="1" applyBorder="1" applyAlignment="1">
      <alignment horizontal="center"/>
    </xf>
    <xf numFmtId="0" fontId="0" fillId="9" borderId="13" xfId="0" applyFill="1" applyBorder="1" applyAlignment="1">
      <alignment horizontal="left" vertical="top"/>
    </xf>
    <xf numFmtId="0" fontId="0" fillId="9" borderId="12" xfId="0" applyFill="1" applyBorder="1" applyAlignment="1">
      <alignment horizontal="left" vertical="top"/>
    </xf>
    <xf numFmtId="0" fontId="0" fillId="9" borderId="12" xfId="0" applyFill="1" applyBorder="1" applyAlignment="1">
      <alignment horizontal="right" vertical="top"/>
    </xf>
    <xf numFmtId="0" fontId="8" fillId="11" borderId="2" xfId="0" applyFont="1" applyFill="1" applyBorder="1" applyAlignment="1">
      <alignment horizontal="right" vertical="top"/>
    </xf>
    <xf numFmtId="0" fontId="0" fillId="11" borderId="3" xfId="0" applyFill="1" applyBorder="1" applyAlignment="1">
      <alignment horizontal="center"/>
    </xf>
    <xf numFmtId="0" fontId="0" fillId="11" borderId="4" xfId="0" applyFill="1" applyBorder="1" applyAlignment="1">
      <alignment horizontal="left" vertical="top"/>
    </xf>
    <xf numFmtId="0" fontId="0" fillId="0" borderId="3" xfId="0" applyBorder="1" applyAlignment="1">
      <alignment horizontal="right" vertical="top"/>
    </xf>
    <xf numFmtId="0" fontId="0" fillId="0" borderId="8" xfId="0" applyBorder="1" applyAlignment="1">
      <alignment horizontal="right" vertical="top"/>
    </xf>
    <xf numFmtId="0" fontId="0" fillId="0" borderId="0" xfId="0" applyAlignment="1">
      <alignment horizontal="left"/>
    </xf>
    <xf numFmtId="0" fontId="0" fillId="6" borderId="3" xfId="0" applyFill="1" applyBorder="1" applyAlignment="1" applyProtection="1">
      <alignment horizontal="right" vertical="top"/>
      <protection locked="0"/>
    </xf>
    <xf numFmtId="0" fontId="0" fillId="6" borderId="0" xfId="0" applyFill="1" applyAlignment="1" applyProtection="1">
      <alignment horizontal="right" vertical="top"/>
      <protection locked="0"/>
    </xf>
    <xf numFmtId="0" fontId="0" fillId="6" borderId="8" xfId="0" applyFill="1" applyBorder="1" applyAlignment="1" applyProtection="1">
      <alignment horizontal="right" vertical="top"/>
      <protection locked="0"/>
    </xf>
    <xf numFmtId="0" fontId="0" fillId="13" borderId="8" xfId="0" applyFill="1" applyBorder="1" applyAlignment="1" applyProtection="1">
      <alignment horizontal="right" vertical="top"/>
      <protection locked="0"/>
    </xf>
    <xf numFmtId="0" fontId="0" fillId="13" borderId="0" xfId="0" applyFill="1" applyAlignment="1" applyProtection="1">
      <alignment horizontal="right" vertical="top"/>
      <protection locked="0"/>
    </xf>
    <xf numFmtId="10" fontId="0" fillId="6" borderId="8" xfId="0" applyNumberFormat="1" applyFill="1" applyBorder="1" applyAlignment="1" applyProtection="1">
      <alignment horizontal="right" vertical="top"/>
      <protection locked="0"/>
    </xf>
    <xf numFmtId="0" fontId="0" fillId="6" borderId="21" xfId="0" applyFill="1" applyBorder="1" applyAlignment="1" applyProtection="1">
      <alignment horizontal="right" vertical="top"/>
      <protection locked="0"/>
    </xf>
    <xf numFmtId="9" fontId="0" fillId="6" borderId="24" xfId="0" applyNumberFormat="1" applyFill="1" applyBorder="1" applyAlignment="1" applyProtection="1">
      <alignment horizontal="right" vertical="top"/>
      <protection locked="0"/>
    </xf>
    <xf numFmtId="9" fontId="0" fillId="6" borderId="0" xfId="0" applyNumberFormat="1" applyFill="1" applyAlignment="1" applyProtection="1">
      <alignment horizontal="right" vertical="top"/>
      <protection locked="0"/>
    </xf>
    <xf numFmtId="0" fontId="15" fillId="0" borderId="0" xfId="0" applyFont="1" applyAlignment="1">
      <alignment horizontal="left" vertical="center"/>
    </xf>
    <xf numFmtId="0" fontId="0" fillId="0" borderId="0" xfId="0" applyAlignment="1">
      <alignment wrapText="1"/>
    </xf>
    <xf numFmtId="0" fontId="16" fillId="0" borderId="0" xfId="0" applyFont="1"/>
    <xf numFmtId="1" fontId="11" fillId="15" borderId="3" xfId="0" applyNumberFormat="1" applyFont="1" applyFill="1" applyBorder="1" applyAlignment="1">
      <alignment horizontal="right"/>
    </xf>
    <xf numFmtId="0" fontId="0" fillId="4" borderId="5" xfId="0" applyFill="1" applyBorder="1" applyAlignment="1">
      <alignment horizontal="left"/>
    </xf>
    <xf numFmtId="166" fontId="0" fillId="4" borderId="0" xfId="0" applyNumberFormat="1" applyFill="1"/>
    <xf numFmtId="0" fontId="5" fillId="4" borderId="5" xfId="0" applyFont="1" applyFill="1" applyBorder="1" applyAlignment="1">
      <alignment horizontal="left"/>
    </xf>
    <xf numFmtId="0" fontId="0" fillId="4" borderId="5" xfId="0" applyFill="1" applyBorder="1" applyAlignment="1">
      <alignment horizontal="left" indent="2"/>
    </xf>
    <xf numFmtId="0" fontId="0" fillId="4" borderId="0" xfId="0" applyFill="1"/>
    <xf numFmtId="0" fontId="0" fillId="0" borderId="5" xfId="0" applyBorder="1"/>
    <xf numFmtId="0" fontId="0" fillId="0" borderId="6" xfId="0" applyBorder="1"/>
    <xf numFmtId="0" fontId="0" fillId="4" borderId="0" xfId="0" applyFill="1" applyAlignment="1">
      <alignment horizontal="left"/>
    </xf>
    <xf numFmtId="0" fontId="0" fillId="4" borderId="0" xfId="0" applyFill="1" applyAlignment="1">
      <alignment horizontal="left" indent="2"/>
    </xf>
    <xf numFmtId="0" fontId="0" fillId="0" borderId="7" xfId="0" applyBorder="1"/>
    <xf numFmtId="0" fontId="0" fillId="0" borderId="9" xfId="0" applyBorder="1"/>
    <xf numFmtId="0" fontId="4" fillId="3" borderId="0" xfId="0" applyFont="1" applyFill="1"/>
    <xf numFmtId="0" fontId="4" fillId="3" borderId="0" xfId="0" applyFont="1" applyFill="1" applyAlignment="1">
      <alignment horizontal="right"/>
    </xf>
    <xf numFmtId="2" fontId="0" fillId="4" borderId="0" xfId="0" applyNumberFormat="1" applyFill="1"/>
    <xf numFmtId="0" fontId="5" fillId="4" borderId="0" xfId="0" applyFont="1" applyFill="1" applyAlignment="1">
      <alignment horizontal="left"/>
    </xf>
    <xf numFmtId="0" fontId="0" fillId="4" borderId="0" xfId="0" applyFill="1" applyAlignment="1">
      <alignment horizontal="left" indent="3"/>
    </xf>
    <xf numFmtId="0" fontId="0" fillId="2" borderId="0" xfId="0" applyFill="1" applyAlignment="1">
      <alignment horizontal="left"/>
    </xf>
    <xf numFmtId="0" fontId="0" fillId="2" borderId="0" xfId="0" applyFill="1"/>
    <xf numFmtId="2" fontId="0" fillId="2" borderId="0" xfId="0" applyNumberFormat="1" applyFill="1"/>
    <xf numFmtId="0" fontId="0" fillId="8" borderId="1" xfId="0" applyFill="1" applyBorder="1"/>
    <xf numFmtId="0" fontId="0" fillId="0" borderId="17" xfId="0" applyBorder="1"/>
    <xf numFmtId="0" fontId="0" fillId="8" borderId="1" xfId="0" applyFill="1" applyBorder="1" applyAlignment="1">
      <alignment wrapText="1"/>
    </xf>
    <xf numFmtId="0" fontId="0" fillId="0" borderId="1" xfId="0" applyBorder="1"/>
    <xf numFmtId="0" fontId="5" fillId="0" borderId="1" xfId="0" applyFont="1" applyBorder="1" applyAlignment="1">
      <alignment wrapText="1"/>
    </xf>
    <xf numFmtId="0" fontId="0" fillId="7" borderId="10" xfId="0" applyFill="1" applyBorder="1"/>
    <xf numFmtId="0" fontId="5" fillId="0" borderId="1" xfId="0" applyFont="1" applyBorder="1"/>
    <xf numFmtId="0" fontId="0" fillId="7" borderId="17" xfId="0" applyFill="1" applyBorder="1"/>
    <xf numFmtId="2" fontId="0" fillId="0" borderId="1" xfId="0" applyNumberFormat="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0" fontId="5" fillId="8" borderId="1" xfId="0" applyFont="1" applyFill="1" applyBorder="1"/>
    <xf numFmtId="2" fontId="0" fillId="7" borderId="1" xfId="0" applyNumberFormat="1" applyFill="1" applyBorder="1" applyAlignment="1">
      <alignment horizontal="left"/>
    </xf>
    <xf numFmtId="164" fontId="0" fillId="0" borderId="0" xfId="0" applyNumberFormat="1" applyAlignment="1">
      <alignment horizontal="left"/>
    </xf>
    <xf numFmtId="167" fontId="0" fillId="7" borderId="10" xfId="0" applyNumberFormat="1" applyFill="1" applyBorder="1"/>
    <xf numFmtId="0" fontId="5" fillId="0" borderId="0" xfId="0" applyFont="1"/>
    <xf numFmtId="0" fontId="0" fillId="7" borderId="1" xfId="0" applyFill="1" applyBorder="1"/>
    <xf numFmtId="164" fontId="0" fillId="7" borderId="1" xfId="0" applyNumberFormat="1" applyFill="1" applyBorder="1"/>
    <xf numFmtId="165" fontId="0" fillId="0" borderId="0" xfId="0" applyNumberFormat="1"/>
    <xf numFmtId="0" fontId="0" fillId="0" borderId="2" xfId="0" applyBorder="1"/>
    <xf numFmtId="1" fontId="0" fillId="0" borderId="3" xfId="0" applyNumberFormat="1" applyBorder="1"/>
    <xf numFmtId="164" fontId="0" fillId="0" borderId="4" xfId="0" applyNumberFormat="1" applyBorder="1"/>
    <xf numFmtId="164" fontId="0" fillId="0" borderId="0" xfId="0" applyNumberFormat="1"/>
    <xf numFmtId="0" fontId="5" fillId="0" borderId="5" xfId="0" applyFont="1" applyBorder="1"/>
    <xf numFmtId="0" fontId="0" fillId="7" borderId="0" xfId="0" applyFill="1"/>
    <xf numFmtId="0" fontId="0" fillId="7" borderId="0" xfId="0" applyFill="1" applyAlignment="1">
      <alignment horizontal="center"/>
    </xf>
    <xf numFmtId="0" fontId="5" fillId="0" borderId="7" xfId="0" applyFont="1" applyBorder="1"/>
    <xf numFmtId="0" fontId="0" fillId="7" borderId="8" xfId="0" applyFill="1" applyBorder="1"/>
    <xf numFmtId="0" fontId="0" fillId="0" borderId="4" xfId="0" applyBorder="1"/>
    <xf numFmtId="0" fontId="0" fillId="0" borderId="24" xfId="0" applyBorder="1"/>
    <xf numFmtId="0" fontId="0" fillId="0" borderId="27" xfId="0" applyBorder="1"/>
    <xf numFmtId="0" fontId="5" fillId="0" borderId="28" xfId="0" applyFont="1" applyBorder="1" applyAlignment="1">
      <alignment horizontal="left" vertical="center"/>
    </xf>
    <xf numFmtId="0" fontId="0" fillId="7" borderId="16" xfId="0" applyFill="1" applyBorder="1"/>
    <xf numFmtId="0" fontId="0" fillId="7" borderId="29" xfId="0" applyFill="1" applyBorder="1"/>
    <xf numFmtId="0" fontId="0" fillId="0" borderId="21" xfId="0" applyBorder="1" applyAlignment="1">
      <alignment horizontal="left"/>
    </xf>
    <xf numFmtId="0" fontId="0" fillId="0" borderId="31" xfId="0" applyBorder="1"/>
    <xf numFmtId="9" fontId="0" fillId="0" borderId="21" xfId="0" applyNumberFormat="1" applyBorder="1" applyAlignment="1">
      <alignment horizontal="left"/>
    </xf>
    <xf numFmtId="0" fontId="0" fillId="0" borderId="5" xfId="0" applyBorder="1" applyAlignment="1">
      <alignment horizontal="left" vertical="center" wrapText="1"/>
    </xf>
    <xf numFmtId="9" fontId="0" fillId="0" borderId="0" xfId="0" applyNumberFormat="1" applyAlignment="1">
      <alignment horizontal="left"/>
    </xf>
    <xf numFmtId="9" fontId="0" fillId="7" borderId="16" xfId="0" applyNumberFormat="1" applyFill="1" applyBorder="1" applyAlignment="1">
      <alignment horizontal="left"/>
    </xf>
    <xf numFmtId="0" fontId="14" fillId="0" borderId="0" xfId="0" applyFont="1"/>
    <xf numFmtId="0" fontId="0" fillId="0" borderId="21" xfId="0" applyBorder="1"/>
    <xf numFmtId="0" fontId="5" fillId="0" borderId="30" xfId="0" applyFont="1" applyBorder="1"/>
    <xf numFmtId="9" fontId="0" fillId="7" borderId="21" xfId="0" applyNumberFormat="1" applyFill="1" applyBorder="1"/>
    <xf numFmtId="9" fontId="0" fillId="7" borderId="31" xfId="0" applyNumberFormat="1" applyFill="1" applyBorder="1"/>
    <xf numFmtId="0" fontId="0" fillId="7" borderId="9" xfId="0" applyFill="1" applyBorder="1"/>
    <xf numFmtId="0" fontId="0" fillId="0" borderId="2" xfId="0" applyBorder="1" applyAlignment="1">
      <alignment horizontal="left" vertical="top"/>
    </xf>
    <xf numFmtId="0" fontId="0" fillId="0" borderId="3" xfId="1" applyNumberFormat="1" applyFont="1" applyBorder="1" applyProtection="1"/>
    <xf numFmtId="0" fontId="0" fillId="0" borderId="5" xfId="0" applyBorder="1" applyAlignment="1">
      <alignment horizontal="left" vertical="top"/>
    </xf>
    <xf numFmtId="0" fontId="0" fillId="0" borderId="0" xfId="1" applyNumberFormat="1" applyFont="1" applyBorder="1" applyProtection="1"/>
    <xf numFmtId="167" fontId="0" fillId="0" borderId="6" xfId="0" applyNumberFormat="1" applyBorder="1"/>
    <xf numFmtId="0" fontId="0" fillId="0" borderId="7" xfId="0" applyBorder="1" applyAlignment="1">
      <alignment horizontal="left" vertical="top"/>
    </xf>
    <xf numFmtId="0" fontId="0" fillId="0" borderId="8" xfId="1" applyNumberFormat="1" applyFont="1" applyBorder="1" applyProtection="1"/>
    <xf numFmtId="0" fontId="0" fillId="0" borderId="11" xfId="0" applyBorder="1" applyAlignment="1">
      <alignment horizontal="left"/>
    </xf>
    <xf numFmtId="0" fontId="0" fillId="0" borderId="12" xfId="0" applyBorder="1"/>
    <xf numFmtId="0" fontId="0" fillId="0" borderId="13" xfId="0" applyBorder="1"/>
    <xf numFmtId="0" fontId="0" fillId="0" borderId="11" xfId="0" applyBorder="1" applyAlignment="1">
      <alignment horizontal="left" vertical="top"/>
    </xf>
    <xf numFmtId="11" fontId="0" fillId="0" borderId="0" xfId="0" applyNumberFormat="1"/>
    <xf numFmtId="168" fontId="0" fillId="7" borderId="0" xfId="0" applyNumberFormat="1" applyFill="1"/>
    <xf numFmtId="0" fontId="0" fillId="0" borderId="1" xfId="0" applyBorder="1" applyAlignment="1">
      <alignment horizontal="left" vertical="top"/>
    </xf>
    <xf numFmtId="1" fontId="12" fillId="17" borderId="11" xfId="0" applyNumberFormat="1" applyFont="1" applyFill="1" applyBorder="1" applyAlignment="1">
      <alignment horizontal="left" wrapText="1"/>
    </xf>
    <xf numFmtId="1" fontId="12" fillId="17" borderId="15" xfId="0" applyNumberFormat="1" applyFont="1" applyFill="1" applyBorder="1" applyAlignment="1">
      <alignment horizontal="left" wrapText="1"/>
    </xf>
    <xf numFmtId="0" fontId="0" fillId="6" borderId="5" xfId="0" applyFill="1" applyBorder="1" applyProtection="1">
      <protection locked="0"/>
    </xf>
    <xf numFmtId="0" fontId="0" fillId="6" borderId="0" xfId="0" applyFill="1" applyProtection="1">
      <protection locked="0"/>
    </xf>
    <xf numFmtId="0" fontId="0" fillId="6" borderId="6" xfId="0" applyFill="1" applyBorder="1" applyProtection="1">
      <protection locked="0"/>
    </xf>
    <xf numFmtId="0" fontId="0" fillId="6" borderId="7" xfId="0" applyFill="1" applyBorder="1" applyProtection="1">
      <protection locked="0"/>
    </xf>
    <xf numFmtId="0" fontId="0" fillId="6" borderId="8" xfId="0" applyFill="1" applyBorder="1" applyProtection="1">
      <protection locked="0"/>
    </xf>
    <xf numFmtId="0" fontId="0" fillId="6" borderId="9" xfId="0" applyFill="1" applyBorder="1" applyProtection="1">
      <protection locked="0"/>
    </xf>
    <xf numFmtId="0" fontId="0" fillId="5" borderId="0" xfId="0" applyFill="1" applyProtection="1">
      <protection locked="0"/>
    </xf>
    <xf numFmtId="0" fontId="0" fillId="0" borderId="0" xfId="0" applyAlignment="1">
      <alignment horizontal="left" vertical="center" wrapText="1"/>
    </xf>
    <xf numFmtId="0" fontId="0" fillId="0" borderId="6" xfId="0" applyBorder="1" applyAlignment="1">
      <alignment horizontal="left" vertical="center" wrapText="1"/>
    </xf>
    <xf numFmtId="0" fontId="0" fillId="13" borderId="1" xfId="0" applyFill="1" applyBorder="1" applyAlignment="1">
      <alignment horizontal="right" vertical="top"/>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12" fillId="0" borderId="0" xfId="0" applyFont="1"/>
    <xf numFmtId="0" fontId="0" fillId="0" borderId="0" xfId="0" applyAlignment="1">
      <alignment horizontal="right"/>
    </xf>
    <xf numFmtId="0" fontId="0" fillId="4" borderId="7" xfId="0" applyFill="1" applyBorder="1" applyAlignment="1">
      <alignment horizontal="left"/>
    </xf>
    <xf numFmtId="2" fontId="0" fillId="4" borderId="8" xfId="0" applyNumberFormat="1" applyFill="1" applyBorder="1"/>
    <xf numFmtId="0" fontId="0" fillId="0" borderId="9" xfId="0" applyBorder="1" applyAlignment="1">
      <alignment horizontal="right"/>
    </xf>
    <xf numFmtId="0" fontId="0" fillId="0" borderId="6" xfId="0" applyBorder="1" applyAlignment="1">
      <alignment horizontal="left"/>
    </xf>
    <xf numFmtId="1" fontId="11" fillId="4" borderId="0" xfId="0" applyNumberFormat="1" applyFont="1" applyFill="1" applyAlignment="1">
      <alignment horizontal="left"/>
    </xf>
    <xf numFmtId="1" fontId="11" fillId="15" borderId="33" xfId="0" applyNumberFormat="1" applyFont="1" applyFill="1" applyBorder="1" applyAlignment="1">
      <alignment horizontal="left"/>
    </xf>
    <xf numFmtId="1" fontId="11" fillId="15" borderId="34" xfId="0" applyNumberFormat="1" applyFont="1" applyFill="1" applyBorder="1" applyAlignment="1">
      <alignment horizontal="right"/>
    </xf>
    <xf numFmtId="1" fontId="11" fillId="15" borderId="35" xfId="0" applyNumberFormat="1" applyFont="1" applyFill="1" applyBorder="1" applyAlignment="1">
      <alignment horizontal="left"/>
    </xf>
    <xf numFmtId="0" fontId="0" fillId="5" borderId="24" xfId="0" applyFill="1" applyBorder="1" applyProtection="1">
      <protection locked="0"/>
    </xf>
    <xf numFmtId="166" fontId="0" fillId="4" borderId="36" xfId="0" applyNumberFormat="1" applyFill="1" applyBorder="1"/>
    <xf numFmtId="1" fontId="11" fillId="15" borderId="37" xfId="0" applyNumberFormat="1" applyFont="1" applyFill="1" applyBorder="1" applyAlignment="1">
      <alignment horizontal="right"/>
    </xf>
    <xf numFmtId="1" fontId="11" fillId="15" borderId="41" xfId="0" applyNumberFormat="1" applyFont="1" applyFill="1" applyBorder="1" applyAlignment="1">
      <alignment horizontal="left"/>
    </xf>
    <xf numFmtId="0" fontId="0" fillId="4" borderId="42" xfId="0" applyFill="1" applyBorder="1"/>
    <xf numFmtId="0" fontId="5" fillId="4" borderId="42" xfId="0" applyFont="1" applyFill="1" applyBorder="1"/>
    <xf numFmtId="0" fontId="0" fillId="4" borderId="42" xfId="0" applyFill="1" applyBorder="1" applyAlignment="1">
      <alignment horizontal="left" indent="2"/>
    </xf>
    <xf numFmtId="0" fontId="0" fillId="4" borderId="43" xfId="0" applyFill="1" applyBorder="1"/>
    <xf numFmtId="166" fontId="0" fillId="4" borderId="44" xfId="0" applyNumberFormat="1" applyFill="1" applyBorder="1"/>
    <xf numFmtId="166" fontId="0" fillId="4" borderId="45" xfId="0" applyNumberFormat="1" applyFill="1" applyBorder="1"/>
    <xf numFmtId="166" fontId="0" fillId="6" borderId="0" xfId="0" applyNumberFormat="1" applyFill="1" applyProtection="1">
      <protection locked="0"/>
    </xf>
    <xf numFmtId="166" fontId="0" fillId="4" borderId="46" xfId="0" applyNumberFormat="1" applyFill="1" applyBorder="1"/>
    <xf numFmtId="1" fontId="0" fillId="0" borderId="0" xfId="0" applyNumberFormat="1" applyAlignment="1">
      <alignmen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13" fillId="15" borderId="11" xfId="0" applyFont="1" applyFill="1" applyBorder="1" applyAlignment="1">
      <alignment horizontal="center"/>
    </xf>
    <xf numFmtId="0" fontId="13" fillId="15" borderId="12" xfId="0" applyFont="1" applyFill="1" applyBorder="1" applyAlignment="1">
      <alignment horizontal="center"/>
    </xf>
    <xf numFmtId="0" fontId="13" fillId="15" borderId="13" xfId="0" applyFont="1" applyFill="1"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20" fillId="16" borderId="33" xfId="0" applyFont="1" applyFill="1" applyBorder="1" applyAlignment="1">
      <alignment horizontal="center" vertical="center"/>
    </xf>
    <xf numFmtId="0" fontId="20" fillId="16" borderId="34" xfId="0" applyFont="1" applyFill="1" applyBorder="1" applyAlignment="1">
      <alignment horizontal="center" vertical="center"/>
    </xf>
    <xf numFmtId="0" fontId="20" fillId="16" borderId="35" xfId="0" applyFont="1" applyFill="1" applyBorder="1" applyAlignment="1">
      <alignment horizontal="center" vertical="center"/>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26" xfId="0" applyFont="1" applyBorder="1" applyAlignment="1">
      <alignment horizontal="left" vertical="top" wrapText="1"/>
    </xf>
    <xf numFmtId="0" fontId="2" fillId="0" borderId="24" xfId="0" applyFont="1" applyBorder="1" applyAlignment="1">
      <alignment horizontal="left" vertical="top" wrapText="1"/>
    </xf>
    <xf numFmtId="0" fontId="2" fillId="0" borderId="27" xfId="0" applyFont="1" applyBorder="1" applyAlignment="1">
      <alignment horizontal="left" vertical="top" wrapText="1"/>
    </xf>
    <xf numFmtId="0" fontId="2" fillId="6" borderId="7"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1" fillId="15" borderId="11" xfId="0" applyFont="1" applyFill="1" applyBorder="1" applyAlignment="1">
      <alignment horizontal="center"/>
    </xf>
    <xf numFmtId="0" fontId="21" fillId="15" borderId="12" xfId="0" applyFont="1" applyFill="1" applyBorder="1" applyAlignment="1">
      <alignment horizontal="center"/>
    </xf>
    <xf numFmtId="0" fontId="21" fillId="15" borderId="13" xfId="0" applyFont="1" applyFill="1" applyBorder="1" applyAlignment="1">
      <alignment horizontal="center"/>
    </xf>
    <xf numFmtId="0" fontId="0" fillId="10" borderId="12" xfId="0" applyFill="1" applyBorder="1" applyAlignment="1">
      <alignment horizontal="left" vertical="top" wrapText="1"/>
    </xf>
    <xf numFmtId="0" fontId="8" fillId="9" borderId="12" xfId="0" applyFont="1" applyFill="1" applyBorder="1" applyAlignment="1">
      <alignment horizontal="left" vertical="top"/>
    </xf>
    <xf numFmtId="0" fontId="9" fillId="9" borderId="12" xfId="0" applyFont="1" applyFill="1" applyBorder="1" applyAlignment="1">
      <alignment horizontal="left" vertical="top"/>
    </xf>
    <xf numFmtId="0" fontId="0" fillId="11" borderId="3" xfId="0" applyFill="1" applyBorder="1" applyAlignment="1">
      <alignment horizontal="left" vertical="top" wrapText="1"/>
    </xf>
    <xf numFmtId="0" fontId="0" fillId="9" borderId="12" xfId="0" applyFill="1" applyBorder="1" applyAlignment="1">
      <alignment horizontal="left" vertical="top" wrapText="1"/>
    </xf>
    <xf numFmtId="0" fontId="0" fillId="8" borderId="32" xfId="0" applyFill="1" applyBorder="1" applyAlignment="1">
      <alignment horizontal="left" vertical="top" wrapText="1"/>
    </xf>
    <xf numFmtId="0" fontId="5" fillId="9" borderId="12" xfId="0" applyFont="1" applyFill="1" applyBorder="1" applyAlignment="1">
      <alignment horizontal="left" vertical="top" wrapText="1"/>
    </xf>
    <xf numFmtId="0" fontId="0" fillId="10" borderId="3" xfId="0" applyFill="1" applyBorder="1" applyAlignment="1">
      <alignment horizontal="left" vertical="top" wrapText="1"/>
    </xf>
    <xf numFmtId="0" fontId="5" fillId="8" borderId="12" xfId="0" applyFont="1" applyFill="1" applyBorder="1" applyAlignment="1">
      <alignment horizontal="left" vertical="top" wrapText="1"/>
    </xf>
    <xf numFmtId="0" fontId="8" fillId="8" borderId="12" xfId="0" applyFont="1" applyFill="1" applyBorder="1" applyAlignment="1">
      <alignment horizontal="left" vertical="top" wrapText="1"/>
    </xf>
    <xf numFmtId="0" fontId="15" fillId="0" borderId="0" xfId="0" applyFont="1" applyAlignment="1">
      <alignment horizontal="left" vertical="center"/>
    </xf>
    <xf numFmtId="0" fontId="16" fillId="15" borderId="11" xfId="0" applyFont="1" applyFill="1" applyBorder="1" applyAlignment="1">
      <alignment horizontal="center"/>
    </xf>
    <xf numFmtId="0" fontId="16" fillId="15" borderId="12" xfId="0" applyFont="1" applyFill="1" applyBorder="1" applyAlignment="1">
      <alignment horizontal="center"/>
    </xf>
    <xf numFmtId="0" fontId="16" fillId="15" borderId="13" xfId="0" applyFont="1" applyFill="1" applyBorder="1" applyAlignment="1">
      <alignment horizontal="center"/>
    </xf>
    <xf numFmtId="0" fontId="16" fillId="15" borderId="38" xfId="0" applyFont="1" applyFill="1" applyBorder="1" applyAlignment="1">
      <alignment horizontal="center"/>
    </xf>
    <xf numFmtId="0" fontId="16" fillId="15" borderId="39" xfId="0" applyFont="1" applyFill="1" applyBorder="1" applyAlignment="1">
      <alignment horizontal="center"/>
    </xf>
    <xf numFmtId="0" fontId="16" fillId="15" borderId="40" xfId="0" applyFont="1" applyFill="1" applyBorder="1" applyAlignment="1">
      <alignment horizontal="center"/>
    </xf>
    <xf numFmtId="0" fontId="5" fillId="12" borderId="0" xfId="0" applyFont="1" applyFill="1" applyAlignment="1">
      <alignment horizontal="center"/>
    </xf>
    <xf numFmtId="0" fontId="0" fillId="0" borderId="2" xfId="0" applyBorder="1"/>
    <xf numFmtId="0" fontId="0" fillId="0" borderId="3" xfId="0" applyBorder="1"/>
    <xf numFmtId="0" fontId="0" fillId="0" borderId="5" xfId="0" applyBorder="1"/>
    <xf numFmtId="0" fontId="0" fillId="0" borderId="0" xfId="0"/>
    <xf numFmtId="0" fontId="0" fillId="0" borderId="7" xfId="0" applyBorder="1"/>
    <xf numFmtId="0" fontId="0" fillId="0" borderId="8" xfId="0" applyBorder="1"/>
    <xf numFmtId="0" fontId="0" fillId="0" borderId="30"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wrapText="1"/>
    </xf>
    <xf numFmtId="0" fontId="5" fillId="12" borderId="24" xfId="0" applyFont="1" applyFill="1" applyBorder="1" applyAlignment="1">
      <alignment horizontal="center"/>
    </xf>
    <xf numFmtId="0" fontId="0" fillId="0" borderId="2" xfId="0" applyBorder="1" applyAlignment="1">
      <alignment horizontal="left" vertical="center"/>
    </xf>
    <xf numFmtId="0" fontId="26" fillId="0" borderId="0" xfId="0" applyFont="1"/>
  </cellXfs>
  <cellStyles count="3">
    <cellStyle name="Normal" xfId="0" builtinId="0"/>
    <cellStyle name="Percent" xfId="1" builtinId="5"/>
    <cellStyle name="Standard 2" xfId="2" xr:uid="{12C05C89-F141-434A-B913-4865955DBFF0}"/>
  </cellStyles>
  <dxfs count="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2" defaultPivotStyle="PivotStyleLight16">
    <tableStyle name="Invisible" pivot="0" table="0" count="0" xr9:uid="{A91D09DE-2CED-4690-B5A8-52154489D50A}"/>
  </tableStyles>
  <colors>
    <mruColors>
      <color rgb="FFFF7E79"/>
      <color rgb="FFFFFFA1"/>
      <color rgb="FFF2F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98984440670407E-2"/>
          <c:y val="3.9898440333696043E-2"/>
          <c:w val="0.62072084126739058"/>
          <c:h val="0.8940940597876843"/>
        </c:manualLayout>
      </c:layout>
      <c:scatterChart>
        <c:scatterStyle val="lineMarker"/>
        <c:varyColors val="0"/>
        <c:ser>
          <c:idx val="0"/>
          <c:order val="0"/>
          <c:tx>
            <c:strRef>
              <c:f>'(2) Bilan et Mesures'!$G$5</c:f>
              <c:strCache>
                <c:ptCount val="1"/>
                <c:pt idx="0">
                  <c:v>Chauffage</c:v>
                </c:pt>
              </c:strCache>
            </c:strRef>
          </c:tx>
          <c:spPr>
            <a:ln w="19050" cap="rnd">
              <a:solidFill>
                <a:schemeClr val="accent1"/>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Mesures'!$H$5:$P$5</c:f>
              <c:numCache>
                <c:formatCode>0.0</c:formatCode>
                <c:ptCount val="9"/>
                <c:pt idx="0">
                  <c:v>66.163200000000003</c:v>
                </c:pt>
                <c:pt idx="1">
                  <c:v>66.163200000000003</c:v>
                </c:pt>
                <c:pt idx="2">
                  <c:v>66.163200000000003</c:v>
                </c:pt>
                <c:pt idx="3">
                  <c:v>66.163200000000003</c:v>
                </c:pt>
                <c:pt idx="4">
                  <c:v>66.163200000000003</c:v>
                </c:pt>
                <c:pt idx="5">
                  <c:v>66.163200000000003</c:v>
                </c:pt>
                <c:pt idx="6">
                  <c:v>66.163200000000003</c:v>
                </c:pt>
                <c:pt idx="7">
                  <c:v>66.163200000000003</c:v>
                </c:pt>
                <c:pt idx="8">
                  <c:v>66.163200000000003</c:v>
                </c:pt>
              </c:numCache>
            </c:numRef>
          </c:yVal>
          <c:smooth val="0"/>
          <c:extLst>
            <c:ext xmlns:c16="http://schemas.microsoft.com/office/drawing/2014/chart" uri="{C3380CC4-5D6E-409C-BE32-E72D297353CC}">
              <c16:uniqueId val="{00000000-97DF-F249-BBA5-70ABD07ECA09}"/>
            </c:ext>
          </c:extLst>
        </c:ser>
        <c:ser>
          <c:idx val="1"/>
          <c:order val="1"/>
          <c:tx>
            <c:strRef>
              <c:f>'(2) Bilan et Mesures'!$G$6</c:f>
              <c:strCache>
                <c:ptCount val="1"/>
                <c:pt idx="0">
                  <c:v>Production</c:v>
                </c:pt>
              </c:strCache>
            </c:strRef>
          </c:tx>
          <c:spPr>
            <a:ln w="19050" cap="rnd">
              <a:solidFill>
                <a:schemeClr val="accent2"/>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Mesures'!$H$6:$P$6</c:f>
              <c:numCache>
                <c:formatCode>0.0</c:formatCode>
                <c:ptCount val="9"/>
                <c:pt idx="0">
                  <c:v>5.4000151200423359</c:v>
                </c:pt>
                <c:pt idx="1">
                  <c:v>5.4000151200423359</c:v>
                </c:pt>
                <c:pt idx="2">
                  <c:v>5.4000151200423359</c:v>
                </c:pt>
                <c:pt idx="3">
                  <c:v>5.4000151200423359</c:v>
                </c:pt>
                <c:pt idx="4">
                  <c:v>5.4000151200423359</c:v>
                </c:pt>
                <c:pt idx="5">
                  <c:v>5.4000151200423359</c:v>
                </c:pt>
                <c:pt idx="6">
                  <c:v>5.4000151200423359</c:v>
                </c:pt>
                <c:pt idx="7">
                  <c:v>5.4000151200423359</c:v>
                </c:pt>
                <c:pt idx="8">
                  <c:v>5.4000151200423359</c:v>
                </c:pt>
              </c:numCache>
            </c:numRef>
          </c:yVal>
          <c:smooth val="0"/>
          <c:extLst>
            <c:ext xmlns:c16="http://schemas.microsoft.com/office/drawing/2014/chart" uri="{C3380CC4-5D6E-409C-BE32-E72D297353CC}">
              <c16:uniqueId val="{00000001-97DF-F249-BBA5-70ABD07ECA09}"/>
            </c:ext>
          </c:extLst>
        </c:ser>
        <c:ser>
          <c:idx val="2"/>
          <c:order val="2"/>
          <c:tx>
            <c:strRef>
              <c:f>'(2) Bilan et Mesures'!$G$7</c:f>
              <c:strCache>
                <c:ptCount val="1"/>
                <c:pt idx="0">
                  <c:v>Electricité</c:v>
                </c:pt>
              </c:strCache>
            </c:strRef>
          </c:tx>
          <c:spPr>
            <a:ln w="19050" cap="rnd">
              <a:solidFill>
                <a:schemeClr val="accent3"/>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Mesures'!$H$7:$P$7</c:f>
              <c:numCache>
                <c:formatCode>0.0</c:formatCode>
                <c:ptCount val="9"/>
                <c:pt idx="0">
                  <c:v>48.6</c:v>
                </c:pt>
                <c:pt idx="1">
                  <c:v>48.6</c:v>
                </c:pt>
                <c:pt idx="2">
                  <c:v>44.6</c:v>
                </c:pt>
                <c:pt idx="3">
                  <c:v>44.6</c:v>
                </c:pt>
                <c:pt idx="4">
                  <c:v>44.6</c:v>
                </c:pt>
                <c:pt idx="5">
                  <c:v>44.6</c:v>
                </c:pt>
                <c:pt idx="6">
                  <c:v>44.6</c:v>
                </c:pt>
                <c:pt idx="7">
                  <c:v>44.6</c:v>
                </c:pt>
                <c:pt idx="8">
                  <c:v>44.6</c:v>
                </c:pt>
              </c:numCache>
            </c:numRef>
          </c:yVal>
          <c:smooth val="0"/>
          <c:extLst>
            <c:ext xmlns:c16="http://schemas.microsoft.com/office/drawing/2014/chart" uri="{C3380CC4-5D6E-409C-BE32-E72D297353CC}">
              <c16:uniqueId val="{00000002-97DF-F249-BBA5-70ABD07ECA09}"/>
            </c:ext>
          </c:extLst>
        </c:ser>
        <c:ser>
          <c:idx val="3"/>
          <c:order val="3"/>
          <c:tx>
            <c:strRef>
              <c:f>'(2) Bilan et Mesures'!$G$8</c:f>
              <c:strCache>
                <c:ptCount val="1"/>
                <c:pt idx="0">
                  <c:v>Mobilité des personnes</c:v>
                </c:pt>
              </c:strCache>
            </c:strRef>
          </c:tx>
          <c:spPr>
            <a:ln w="19050" cap="rnd">
              <a:solidFill>
                <a:schemeClr val="accent4"/>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Mesures'!$H$8:$P$8</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3-97DF-F249-BBA5-70ABD07ECA09}"/>
            </c:ext>
          </c:extLst>
        </c:ser>
        <c:ser>
          <c:idx val="4"/>
          <c:order val="4"/>
          <c:tx>
            <c:strRef>
              <c:f>'(2) Bilan et Mesures'!$G$9</c:f>
              <c:strCache>
                <c:ptCount val="1"/>
                <c:pt idx="0">
                  <c:v>Mobilité pendulaire</c:v>
                </c:pt>
              </c:strCache>
            </c:strRef>
          </c:tx>
          <c:spPr>
            <a:ln w="19050" cap="rnd">
              <a:solidFill>
                <a:schemeClr val="accent5"/>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Mesures'!$H$9:$P$9</c:f>
              <c:numCache>
                <c:formatCode>0.0</c:formatCode>
                <c:ptCount val="9"/>
                <c:pt idx="0">
                  <c:v>498.61689696000008</c:v>
                </c:pt>
                <c:pt idx="1">
                  <c:v>498.61689696000008</c:v>
                </c:pt>
                <c:pt idx="2">
                  <c:v>498.61689696000008</c:v>
                </c:pt>
                <c:pt idx="3">
                  <c:v>498.61689696000008</c:v>
                </c:pt>
                <c:pt idx="4">
                  <c:v>498.61689696000008</c:v>
                </c:pt>
                <c:pt idx="5">
                  <c:v>498.61689696000008</c:v>
                </c:pt>
                <c:pt idx="6">
                  <c:v>498.61689696000008</c:v>
                </c:pt>
                <c:pt idx="7">
                  <c:v>498.61689696000008</c:v>
                </c:pt>
                <c:pt idx="8">
                  <c:v>498.61689696000008</c:v>
                </c:pt>
              </c:numCache>
            </c:numRef>
          </c:yVal>
          <c:smooth val="0"/>
          <c:extLst>
            <c:ext xmlns:c16="http://schemas.microsoft.com/office/drawing/2014/chart" uri="{C3380CC4-5D6E-409C-BE32-E72D297353CC}">
              <c16:uniqueId val="{00000004-97DF-F249-BBA5-70ABD07ECA09}"/>
            </c:ext>
          </c:extLst>
        </c:ser>
        <c:ser>
          <c:idx val="5"/>
          <c:order val="5"/>
          <c:tx>
            <c:strRef>
              <c:f>'(2) Bilan et Mesures'!$G$10</c:f>
              <c:strCache>
                <c:ptCount val="1"/>
                <c:pt idx="0">
                  <c:v>Mobilité professionnelle voiture privées</c:v>
                </c:pt>
              </c:strCache>
            </c:strRef>
          </c:tx>
          <c:spPr>
            <a:ln w="19050" cap="rnd">
              <a:solidFill>
                <a:schemeClr val="accent6"/>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Mesures'!$H$10:$P$10</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5-97DF-F249-BBA5-70ABD07ECA09}"/>
            </c:ext>
          </c:extLst>
        </c:ser>
        <c:ser>
          <c:idx val="6"/>
          <c:order val="6"/>
          <c:tx>
            <c:strRef>
              <c:f>'(2) Bilan et Mesures'!$G$11</c:f>
              <c:strCache>
                <c:ptCount val="1"/>
                <c:pt idx="0">
                  <c:v>Mobilité professionnelle voiture entreprises</c:v>
                </c:pt>
              </c:strCache>
            </c:strRef>
          </c:tx>
          <c:spPr>
            <a:ln w="19050" cap="rnd">
              <a:solidFill>
                <a:schemeClr val="accent1">
                  <a:lumMod val="6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Mesures'!$H$11:$P$11</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6-97DF-F249-BBA5-70ABD07ECA09}"/>
            </c:ext>
          </c:extLst>
        </c:ser>
        <c:ser>
          <c:idx val="7"/>
          <c:order val="7"/>
          <c:tx>
            <c:strRef>
              <c:f>'(2) Bilan et Mesures'!$G$12</c:f>
              <c:strCache>
                <c:ptCount val="1"/>
                <c:pt idx="0">
                  <c:v>Mobilité professionnelle transports publics</c:v>
                </c:pt>
              </c:strCache>
            </c:strRef>
          </c:tx>
          <c:spPr>
            <a:ln w="19050" cap="rnd">
              <a:solidFill>
                <a:schemeClr val="accent2">
                  <a:lumMod val="6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Mesures'!$H$12:$P$12</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7-97DF-F249-BBA5-70ABD07ECA09}"/>
            </c:ext>
          </c:extLst>
        </c:ser>
        <c:ser>
          <c:idx val="8"/>
          <c:order val="8"/>
          <c:tx>
            <c:strRef>
              <c:f>'(2) Bilan et Mesures'!$G$13</c:f>
              <c:strCache>
                <c:ptCount val="1"/>
                <c:pt idx="0">
                  <c:v>Transport marchandises </c:v>
                </c:pt>
              </c:strCache>
            </c:strRef>
          </c:tx>
          <c:spPr>
            <a:ln w="19050" cap="rnd">
              <a:solidFill>
                <a:schemeClr val="accent3">
                  <a:lumMod val="6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Mesures'!$H$13:$P$13</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8-97DF-F249-BBA5-70ABD07ECA09}"/>
            </c:ext>
          </c:extLst>
        </c:ser>
        <c:ser>
          <c:idx val="9"/>
          <c:order val="9"/>
          <c:tx>
            <c:strRef>
              <c:f>'(2) Bilan et Mesures'!$G$14</c:f>
              <c:strCache>
                <c:ptCount val="1"/>
                <c:pt idx="0">
                  <c:v>Transport véhicules d'entreprise</c:v>
                </c:pt>
              </c:strCache>
            </c:strRef>
          </c:tx>
          <c:spPr>
            <a:ln w="19050" cap="rnd">
              <a:solidFill>
                <a:schemeClr val="accent4">
                  <a:lumMod val="6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Mesures'!$H$14:$P$14</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7014-4107-94E2-191E454C1175}"/>
            </c:ext>
          </c:extLst>
        </c:ser>
        <c:ser>
          <c:idx val="10"/>
          <c:order val="10"/>
          <c:tx>
            <c:strRef>
              <c:f>'(2) Bilan et Mesures'!$G$15</c:f>
              <c:strCache>
                <c:ptCount val="1"/>
                <c:pt idx="0">
                  <c:v>Transport sous-traité</c:v>
                </c:pt>
              </c:strCache>
            </c:strRef>
          </c:tx>
          <c:spPr>
            <a:ln w="19050" cap="rnd">
              <a:solidFill>
                <a:schemeClr val="accent5">
                  <a:lumMod val="6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Mesures'!$H$15:$P$15</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1-7014-4107-94E2-191E454C1175}"/>
            </c:ext>
          </c:extLst>
        </c:ser>
        <c:ser>
          <c:idx val="11"/>
          <c:order val="11"/>
          <c:tx>
            <c:strRef>
              <c:f>'(2) Bilan et Mesures'!$G$16</c:f>
              <c:strCache>
                <c:ptCount val="1"/>
                <c:pt idx="0">
                  <c:v>Déchets</c:v>
                </c:pt>
              </c:strCache>
            </c:strRef>
          </c:tx>
          <c:spPr>
            <a:ln w="19050" cap="rnd">
              <a:solidFill>
                <a:schemeClr val="accent6">
                  <a:lumMod val="6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Mesures'!$H$16:$P$16</c:f>
              <c:numCache>
                <c:formatCode>0.0</c:formatCode>
                <c:ptCount val="9"/>
                <c:pt idx="0">
                  <c:v>12.621499999999999</c:v>
                </c:pt>
                <c:pt idx="1">
                  <c:v>12.621499999999999</c:v>
                </c:pt>
                <c:pt idx="2">
                  <c:v>12.621499999999999</c:v>
                </c:pt>
                <c:pt idx="3">
                  <c:v>12.621499999999999</c:v>
                </c:pt>
                <c:pt idx="4">
                  <c:v>12.621499999999999</c:v>
                </c:pt>
                <c:pt idx="5">
                  <c:v>12.621499999999999</c:v>
                </c:pt>
                <c:pt idx="6">
                  <c:v>12.621499999999999</c:v>
                </c:pt>
                <c:pt idx="7">
                  <c:v>12.621499999999999</c:v>
                </c:pt>
                <c:pt idx="8">
                  <c:v>12.621499999999999</c:v>
                </c:pt>
              </c:numCache>
            </c:numRef>
          </c:yVal>
          <c:smooth val="0"/>
          <c:extLst>
            <c:ext xmlns:c16="http://schemas.microsoft.com/office/drawing/2014/chart" uri="{C3380CC4-5D6E-409C-BE32-E72D297353CC}">
              <c16:uniqueId val="{00000002-7014-4107-94E2-191E454C1175}"/>
            </c:ext>
          </c:extLst>
        </c:ser>
        <c:ser>
          <c:idx val="12"/>
          <c:order val="12"/>
          <c:tx>
            <c:strRef>
              <c:f>'(2) Bilan et Mesures'!$G$17</c:f>
              <c:strCache>
                <c:ptCount val="1"/>
                <c:pt idx="0">
                  <c:v>Papier</c:v>
                </c:pt>
              </c:strCache>
            </c:strRef>
          </c:tx>
          <c:spPr>
            <a:ln w="19050" cap="rnd">
              <a:solidFill>
                <a:schemeClr val="accent1">
                  <a:lumMod val="80000"/>
                  <a:lumOff val="2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Mesures'!$H$17:$P$17</c:f>
              <c:numCache>
                <c:formatCode>0.0</c:formatCode>
                <c:ptCount val="9"/>
                <c:pt idx="0">
                  <c:v>48</c:v>
                </c:pt>
                <c:pt idx="1">
                  <c:v>48</c:v>
                </c:pt>
                <c:pt idx="2">
                  <c:v>48</c:v>
                </c:pt>
                <c:pt idx="3">
                  <c:v>48</c:v>
                </c:pt>
                <c:pt idx="4">
                  <c:v>48</c:v>
                </c:pt>
                <c:pt idx="5">
                  <c:v>48</c:v>
                </c:pt>
                <c:pt idx="6">
                  <c:v>48</c:v>
                </c:pt>
                <c:pt idx="7">
                  <c:v>48</c:v>
                </c:pt>
                <c:pt idx="8">
                  <c:v>48</c:v>
                </c:pt>
              </c:numCache>
            </c:numRef>
          </c:yVal>
          <c:smooth val="0"/>
          <c:extLst>
            <c:ext xmlns:c16="http://schemas.microsoft.com/office/drawing/2014/chart" uri="{C3380CC4-5D6E-409C-BE32-E72D297353CC}">
              <c16:uniqueId val="{00000003-7014-4107-94E2-191E454C1175}"/>
            </c:ext>
          </c:extLst>
        </c:ser>
        <c:ser>
          <c:idx val="13"/>
          <c:order val="13"/>
          <c:tx>
            <c:strRef>
              <c:f>'(2) Bilan et Mesures'!$G$18</c:f>
              <c:strCache>
                <c:ptCount val="1"/>
                <c:pt idx="0">
                  <c:v>Eau</c:v>
                </c:pt>
              </c:strCache>
            </c:strRef>
          </c:tx>
          <c:spPr>
            <a:ln w="19050" cap="rnd">
              <a:solidFill>
                <a:schemeClr val="accent2">
                  <a:lumMod val="80000"/>
                  <a:lumOff val="2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Mesures'!$H$18:$P$18</c:f>
              <c:numCache>
                <c:formatCode>0.0</c:formatCode>
                <c:ptCount val="9"/>
                <c:pt idx="0">
                  <c:v>2.15</c:v>
                </c:pt>
                <c:pt idx="1">
                  <c:v>2.15</c:v>
                </c:pt>
                <c:pt idx="2">
                  <c:v>2.15</c:v>
                </c:pt>
                <c:pt idx="3">
                  <c:v>2.15</c:v>
                </c:pt>
                <c:pt idx="4">
                  <c:v>2.15</c:v>
                </c:pt>
                <c:pt idx="5">
                  <c:v>2.15</c:v>
                </c:pt>
                <c:pt idx="6">
                  <c:v>2.15</c:v>
                </c:pt>
                <c:pt idx="7">
                  <c:v>2.15</c:v>
                </c:pt>
                <c:pt idx="8">
                  <c:v>2.15</c:v>
                </c:pt>
              </c:numCache>
            </c:numRef>
          </c:yVal>
          <c:smooth val="0"/>
          <c:extLst>
            <c:ext xmlns:c16="http://schemas.microsoft.com/office/drawing/2014/chart" uri="{C3380CC4-5D6E-409C-BE32-E72D297353CC}">
              <c16:uniqueId val="{00000004-7014-4107-94E2-191E454C1175}"/>
            </c:ext>
          </c:extLst>
        </c:ser>
        <c:ser>
          <c:idx val="14"/>
          <c:order val="14"/>
          <c:tx>
            <c:strRef>
              <c:f>'(2) Bilan et Mesures'!$G$19</c:f>
              <c:strCache>
                <c:ptCount val="1"/>
                <c:pt idx="0">
                  <c:v>Repas</c:v>
                </c:pt>
              </c:strCache>
            </c:strRef>
          </c:tx>
          <c:spPr>
            <a:ln w="19050" cap="rnd">
              <a:solidFill>
                <a:schemeClr val="accent3">
                  <a:lumMod val="80000"/>
                  <a:lumOff val="2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Mesures'!$H$19:$P$19</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5-7014-4107-94E2-191E454C1175}"/>
            </c:ext>
          </c:extLst>
        </c:ser>
        <c:ser>
          <c:idx val="15"/>
          <c:order val="15"/>
          <c:tx>
            <c:strRef>
              <c:f>'(2) Bilan et Mesures'!$G$20</c:f>
              <c:strCache>
                <c:ptCount val="1"/>
                <c:pt idx="0">
                  <c:v>Service </c:v>
                </c:pt>
              </c:strCache>
            </c:strRef>
          </c:tx>
          <c:spPr>
            <a:ln w="19050" cap="rnd">
              <a:solidFill>
                <a:schemeClr val="accent4">
                  <a:lumMod val="80000"/>
                  <a:lumOff val="2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Mesures'!$H$20:$P$20</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6-7014-4107-94E2-191E454C1175}"/>
            </c:ext>
          </c:extLst>
        </c:ser>
        <c:ser>
          <c:idx val="16"/>
          <c:order val="16"/>
          <c:tx>
            <c:strRef>
              <c:f>'(2) Bilan et Mesures'!$G$21</c:f>
              <c:strCache>
                <c:ptCount val="1"/>
                <c:pt idx="0">
                  <c:v>Incinération des déchets</c:v>
                </c:pt>
              </c:strCache>
            </c:strRef>
          </c:tx>
          <c:spPr>
            <a:ln w="19050" cap="rnd">
              <a:solidFill>
                <a:schemeClr val="accent5">
                  <a:lumMod val="80000"/>
                  <a:lumOff val="2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Mesures'!$H$21:$P$21</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7-7014-4107-94E2-191E454C1175}"/>
            </c:ext>
          </c:extLst>
        </c:ser>
        <c:ser>
          <c:idx val="17"/>
          <c:order val="17"/>
          <c:tx>
            <c:strRef>
              <c:f>'(2) Bilan et Mesures'!$G$22</c:f>
              <c:strCache>
                <c:ptCount val="1"/>
                <c:pt idx="0">
                  <c:v>Consommables</c:v>
                </c:pt>
              </c:strCache>
            </c:strRef>
          </c:tx>
          <c:spPr>
            <a:ln w="19050" cap="rnd">
              <a:solidFill>
                <a:schemeClr val="accent6">
                  <a:lumMod val="80000"/>
                  <a:lumOff val="2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Mesures'!$H$22:$P$22</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8-7014-4107-94E2-191E454C1175}"/>
            </c:ext>
          </c:extLst>
        </c:ser>
        <c:ser>
          <c:idx val="18"/>
          <c:order val="18"/>
          <c:tx>
            <c:strRef>
              <c:f>'(2) Bilan et Mesures'!$G$23</c:f>
              <c:strCache>
                <c:ptCount val="1"/>
                <c:pt idx="0">
                  <c:v>Transport par les clients</c:v>
                </c:pt>
              </c:strCache>
            </c:strRef>
          </c:tx>
          <c:spPr>
            <a:ln w="19050" cap="rnd">
              <a:solidFill>
                <a:schemeClr val="accent1">
                  <a:lumMod val="80000"/>
                </a:schemeClr>
              </a:solidFill>
              <a:round/>
            </a:ln>
            <a:effectLst/>
          </c:spPr>
          <c:marker>
            <c:symbol val="none"/>
          </c:marker>
          <c:xVal>
            <c:numRef>
              <c:f>'(2) Bilan et Mesures'!$H$4:$P$4</c:f>
              <c:numCache>
                <c:formatCode>0</c:formatCode>
                <c:ptCount val="9"/>
                <c:pt idx="0">
                  <c:v>2025</c:v>
                </c:pt>
                <c:pt idx="1">
                  <c:v>2026</c:v>
                </c:pt>
                <c:pt idx="2">
                  <c:v>2027</c:v>
                </c:pt>
                <c:pt idx="3">
                  <c:v>2028</c:v>
                </c:pt>
                <c:pt idx="4">
                  <c:v>2029</c:v>
                </c:pt>
                <c:pt idx="5">
                  <c:v>2030</c:v>
                </c:pt>
                <c:pt idx="6">
                  <c:v>2031</c:v>
                </c:pt>
                <c:pt idx="7">
                  <c:v>2032</c:v>
                </c:pt>
                <c:pt idx="8">
                  <c:v>2033</c:v>
                </c:pt>
              </c:numCache>
            </c:numRef>
          </c:xVal>
          <c:yVal>
            <c:numRef>
              <c:f>'(2) Bilan et Mesures'!$H$23:$P$23</c:f>
              <c:numCache>
                <c:formatCode>0.0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0-AFB2-4FA5-B6EA-E85DDAB0C6FF}"/>
            </c:ext>
          </c:extLst>
        </c:ser>
        <c:dLbls>
          <c:showLegendKey val="0"/>
          <c:showVal val="0"/>
          <c:showCatName val="0"/>
          <c:showSerName val="0"/>
          <c:showPercent val="0"/>
          <c:showBubbleSize val="0"/>
        </c:dLbls>
        <c:axId val="1837637967"/>
        <c:axId val="1837637551"/>
      </c:scatterChart>
      <c:valAx>
        <c:axId val="183763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7637551"/>
        <c:crosses val="autoZero"/>
        <c:crossBetween val="midCat"/>
      </c:valAx>
      <c:valAx>
        <c:axId val="183763755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7637967"/>
        <c:crosses val="autoZero"/>
        <c:crossBetween val="midCat"/>
      </c:valAx>
      <c:spPr>
        <a:noFill/>
        <a:ln>
          <a:noFill/>
        </a:ln>
        <a:effectLst/>
      </c:spPr>
    </c:plotArea>
    <c:legend>
      <c:legendPos val="b"/>
      <c:layout>
        <c:manualLayout>
          <c:xMode val="edge"/>
          <c:yMode val="edge"/>
          <c:x val="0.70326076887447886"/>
          <c:y val="2.7474231662282682E-2"/>
          <c:w val="0.19886973317118534"/>
          <c:h val="0.93130779705168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564514</xdr:colOff>
      <xdr:row>26</xdr:row>
      <xdr:rowOff>86995</xdr:rowOff>
    </xdr:from>
    <xdr:to>
      <xdr:col>21</xdr:col>
      <xdr:colOff>333375</xdr:colOff>
      <xdr:row>56</xdr:row>
      <xdr:rowOff>0</xdr:rowOff>
    </xdr:to>
    <xdr:graphicFrame macro="">
      <xdr:nvGraphicFramePr>
        <xdr:cNvPr id="2" name="Chart 1">
          <a:extLst>
            <a:ext uri="{FF2B5EF4-FFF2-40B4-BE49-F238E27FC236}">
              <a16:creationId xmlns:a16="http://schemas.microsoft.com/office/drawing/2014/main" id="{28FBA60C-9B1B-7A44-B2C6-002750555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odier Madeleine" id="{0E2E3A41-63F5-4251-A63F-DF5A04FE19AF}" userId="S::madelein.rodier@hes-so.ch::efaf5665-ffaa-4f1e-bbaa-f1ae899aadb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4-10-01T07:28:16.76" personId="{0E2E3A41-63F5-4251-A63F-DF5A04FE19AF}" id="{F4E05A68-8771-4C71-B53A-EBB6BCEC797F}">
    <text>Bienvenue</text>
  </threadedComment>
  <threadedComment ref="B28" dT="2024-10-01T07:32:29.53" personId="{0E2E3A41-63F5-4251-A63F-DF5A04FE19AF}" id="{330F4D27-D83B-4715-8ADE-68716F88C560}">
    <text>Est-ce quand il manque les m2 ou plutôt quand il manque les données de consommation de chaleur ? 
Evt. Remplacer élèves par étudiants 😉</text>
  </threadedComment>
</ThreadedComments>
</file>

<file path=xl/threadedComments/threadedComment2.xml><?xml version="1.0" encoding="utf-8"?>
<ThreadedComments xmlns="http://schemas.microsoft.com/office/spreadsheetml/2018/threadedcomments" xmlns:x="http://schemas.openxmlformats.org/spreadsheetml/2006/main">
  <threadedComment ref="B26" dT="2024-10-01T07:29:15.04" personId="{0E2E3A41-63F5-4251-A63F-DF5A04FE19AF}" id="{34F4C559-C936-4322-8E07-78C51D40C880}">
    <text>Evt ajouter une colonne pour chiffrer combien cela coûtera</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1AD9-F919-CD44-A305-9439E087E35D}">
  <dimension ref="A1:J35"/>
  <sheetViews>
    <sheetView showGridLines="0" tabSelected="1" zoomScale="90" zoomScaleNormal="90" workbookViewId="0">
      <selection activeCell="B2" sqref="B2"/>
    </sheetView>
  </sheetViews>
  <sheetFormatPr defaultColWidth="11.5546875" defaultRowHeight="14.4"/>
  <cols>
    <col min="4" max="4" width="13" customWidth="1"/>
    <col min="7" max="7" width="33.77734375" customWidth="1"/>
  </cols>
  <sheetData>
    <row r="1" spans="1:7">
      <c r="A1" s="261" t="s">
        <v>195</v>
      </c>
    </row>
    <row r="2" spans="1:7" ht="15" thickBot="1"/>
    <row r="3" spans="1:7" ht="64.05" customHeight="1">
      <c r="B3" s="217" t="s">
        <v>175</v>
      </c>
      <c r="C3" s="218"/>
      <c r="D3" s="218"/>
      <c r="E3" s="218"/>
      <c r="F3" s="218"/>
      <c r="G3" s="219"/>
    </row>
    <row r="4" spans="1:7" ht="15" customHeight="1">
      <c r="B4" s="220" t="s">
        <v>176</v>
      </c>
      <c r="C4" s="221"/>
      <c r="D4" s="221"/>
      <c r="E4" s="221"/>
      <c r="F4" s="221"/>
      <c r="G4" s="222"/>
    </row>
    <row r="5" spans="1:7" ht="15" customHeight="1">
      <c r="B5" s="220"/>
      <c r="C5" s="221"/>
      <c r="D5" s="221"/>
      <c r="E5" s="221"/>
      <c r="F5" s="221"/>
      <c r="G5" s="222"/>
    </row>
    <row r="6" spans="1:7" ht="15" customHeight="1">
      <c r="B6" s="220"/>
      <c r="C6" s="221"/>
      <c r="D6" s="221"/>
      <c r="E6" s="221"/>
      <c r="F6" s="221"/>
      <c r="G6" s="222"/>
    </row>
    <row r="7" spans="1:7" ht="15" customHeight="1">
      <c r="B7" s="220"/>
      <c r="C7" s="221"/>
      <c r="D7" s="221"/>
      <c r="E7" s="221"/>
      <c r="F7" s="221"/>
      <c r="G7" s="222"/>
    </row>
    <row r="8" spans="1:7" ht="15" customHeight="1">
      <c r="B8" s="220"/>
      <c r="C8" s="221"/>
      <c r="D8" s="221"/>
      <c r="E8" s="221"/>
      <c r="F8" s="221"/>
      <c r="G8" s="222"/>
    </row>
    <row r="9" spans="1:7" ht="42" customHeight="1">
      <c r="B9" s="223"/>
      <c r="C9" s="224"/>
      <c r="D9" s="224"/>
      <c r="E9" s="224"/>
      <c r="F9" s="224"/>
      <c r="G9" s="225"/>
    </row>
    <row r="10" spans="1:7" ht="60" customHeight="1" thickBot="1">
      <c r="B10" s="226" t="s">
        <v>178</v>
      </c>
      <c r="C10" s="227"/>
      <c r="D10" s="227"/>
      <c r="E10" s="227"/>
      <c r="F10" s="227"/>
      <c r="G10" s="228"/>
    </row>
    <row r="11" spans="1:7" ht="18.600000000000001" thickBot="1">
      <c r="B11" s="205" t="s">
        <v>172</v>
      </c>
      <c r="C11" s="206"/>
      <c r="D11" s="206"/>
      <c r="E11" s="206"/>
      <c r="F11" s="206"/>
      <c r="G11" s="207"/>
    </row>
    <row r="12" spans="1:7" ht="15" customHeight="1">
      <c r="B12" s="199" t="s">
        <v>179</v>
      </c>
      <c r="C12" s="200"/>
      <c r="D12" s="200"/>
      <c r="E12" s="200"/>
      <c r="F12" s="200"/>
      <c r="G12" s="201"/>
    </row>
    <row r="13" spans="1:7">
      <c r="B13" s="202"/>
      <c r="C13" s="203"/>
      <c r="D13" s="203"/>
      <c r="E13" s="203"/>
      <c r="F13" s="203"/>
      <c r="G13" s="204"/>
    </row>
    <row r="14" spans="1:7">
      <c r="B14" s="202"/>
      <c r="C14" s="203"/>
      <c r="D14" s="203"/>
      <c r="E14" s="203"/>
      <c r="F14" s="203"/>
      <c r="G14" s="204"/>
    </row>
    <row r="15" spans="1:7" ht="66" customHeight="1">
      <c r="B15" s="202"/>
      <c r="C15" s="203"/>
      <c r="D15" s="203"/>
      <c r="E15" s="203"/>
      <c r="F15" s="203"/>
      <c r="G15" s="204"/>
    </row>
    <row r="16" spans="1:7">
      <c r="B16" s="138"/>
      <c r="C16" s="160" t="s">
        <v>60</v>
      </c>
      <c r="D16" s="160" t="s">
        <v>62</v>
      </c>
      <c r="E16" s="160" t="s">
        <v>61</v>
      </c>
      <c r="F16" s="170"/>
      <c r="G16" s="171"/>
    </row>
    <row r="17" spans="2:10" ht="52.05" customHeight="1">
      <c r="B17" s="202" t="s">
        <v>177</v>
      </c>
      <c r="C17" s="203"/>
      <c r="D17" s="203"/>
      <c r="E17" s="203"/>
      <c r="F17" s="203"/>
      <c r="G17" s="204"/>
    </row>
    <row r="18" spans="2:10" ht="40.950000000000003" customHeight="1">
      <c r="B18" s="202" t="s">
        <v>180</v>
      </c>
      <c r="C18" s="203"/>
      <c r="D18" s="203"/>
      <c r="E18" s="203"/>
      <c r="F18" s="203"/>
      <c r="G18" s="204"/>
    </row>
    <row r="19" spans="2:10">
      <c r="B19" s="138"/>
      <c r="C19" s="170"/>
      <c r="D19" s="172" t="s">
        <v>6</v>
      </c>
      <c r="E19" s="170"/>
      <c r="F19" s="170"/>
      <c r="G19" s="171"/>
    </row>
    <row r="20" spans="2:10" ht="21" customHeight="1">
      <c r="B20" s="211" t="s">
        <v>181</v>
      </c>
      <c r="C20" s="212"/>
      <c r="D20" s="212"/>
      <c r="E20" s="212"/>
      <c r="F20" s="212"/>
      <c r="G20" s="213"/>
    </row>
    <row r="21" spans="2:10" ht="15" thickBot="1">
      <c r="B21" s="173"/>
      <c r="F21" s="174"/>
      <c r="G21" s="175"/>
    </row>
    <row r="22" spans="2:10" ht="18.600000000000001" thickBot="1">
      <c r="B22" s="205" t="s">
        <v>173</v>
      </c>
      <c r="C22" s="206"/>
      <c r="D22" s="206"/>
      <c r="E22" s="206"/>
      <c r="F22" s="206"/>
      <c r="G22" s="207"/>
    </row>
    <row r="23" spans="2:10" ht="19.05" customHeight="1">
      <c r="B23" s="199" t="s">
        <v>183</v>
      </c>
      <c r="C23" s="200"/>
      <c r="D23" s="200"/>
      <c r="E23" s="200"/>
      <c r="F23" s="200"/>
      <c r="G23" s="201"/>
    </row>
    <row r="24" spans="2:10">
      <c r="B24" s="202"/>
      <c r="C24" s="203"/>
      <c r="D24" s="203"/>
      <c r="E24" s="203"/>
      <c r="F24" s="203"/>
      <c r="G24" s="204"/>
    </row>
    <row r="25" spans="2:10">
      <c r="B25" s="202"/>
      <c r="C25" s="203"/>
      <c r="D25" s="203"/>
      <c r="E25" s="203"/>
      <c r="F25" s="203"/>
      <c r="G25" s="204"/>
      <c r="J25" s="116"/>
    </row>
    <row r="26" spans="2:10" ht="154.05000000000001" customHeight="1" thickBot="1">
      <c r="B26" s="202"/>
      <c r="C26" s="203"/>
      <c r="D26" s="203"/>
      <c r="E26" s="203"/>
      <c r="F26" s="203"/>
      <c r="G26" s="204"/>
    </row>
    <row r="27" spans="2:10" ht="18.600000000000001" thickBot="1">
      <c r="B27" s="205" t="s">
        <v>174</v>
      </c>
      <c r="C27" s="206"/>
      <c r="D27" s="206"/>
      <c r="E27" s="206"/>
      <c r="F27" s="206"/>
      <c r="G27" s="207"/>
      <c r="J27" s="176"/>
    </row>
    <row r="28" spans="2:10">
      <c r="B28" s="208" t="s">
        <v>182</v>
      </c>
      <c r="C28" s="209"/>
      <c r="D28" s="209"/>
      <c r="E28" s="209"/>
      <c r="F28" s="209"/>
      <c r="G28" s="210"/>
    </row>
    <row r="29" spans="2:10">
      <c r="B29" s="211"/>
      <c r="C29" s="212"/>
      <c r="D29" s="212"/>
      <c r="E29" s="212"/>
      <c r="F29" s="212"/>
      <c r="G29" s="213"/>
    </row>
    <row r="30" spans="2:10" ht="70.95" customHeight="1" thickBot="1">
      <c r="B30" s="214"/>
      <c r="C30" s="215"/>
      <c r="D30" s="215"/>
      <c r="E30" s="215"/>
      <c r="F30" s="215"/>
      <c r="G30" s="216"/>
    </row>
    <row r="31" spans="2:10" ht="15.6">
      <c r="J31" s="176"/>
    </row>
    <row r="35" spans="10:10" ht="15.6">
      <c r="J35" s="176"/>
    </row>
  </sheetData>
  <sheetProtection algorithmName="SHA-512" hashValue="du4Q7WseXTGcn641iIy/FOaVZLnaofROVL4zMVtj0NevKki/tUsGLqVRzp+ojI8qI4Ima3HY9ZFIABop21C7FQ==" saltValue="909UVVvBMXY8Eu5wf3Bk/w==" spinCount="100000" sheet="1" objects="1" scenarios="1"/>
  <mergeCells count="12">
    <mergeCell ref="B11:G11"/>
    <mergeCell ref="B22:G22"/>
    <mergeCell ref="B3:G3"/>
    <mergeCell ref="B4:G9"/>
    <mergeCell ref="B10:G10"/>
    <mergeCell ref="B23:G26"/>
    <mergeCell ref="B27:G27"/>
    <mergeCell ref="B28:G30"/>
    <mergeCell ref="B12:G15"/>
    <mergeCell ref="B17:G17"/>
    <mergeCell ref="B18:G18"/>
    <mergeCell ref="B20:G20"/>
  </mergeCells>
  <conditionalFormatting sqref="C16:E16">
    <cfRule type="containsText" dxfId="8" priority="1" operator="containsText" text="Facultatif">
      <formula>NOT(ISERROR(SEARCH("Facultatif",C16)))</formula>
    </cfRule>
    <cfRule type="containsText" dxfId="7" priority="2" operator="containsText" text="Recommandé">
      <formula>NOT(ISERROR(SEARCH("Recommandé",C16)))</formula>
    </cfRule>
    <cfRule type="containsText" dxfId="6" priority="3" operator="containsText" text="Obligatoire">
      <formula>NOT(ISERROR(SEARCH("Obligatoire",C16)))</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E733ED5-648C-734A-873C-4BA14AE44D35}">
          <x14:formula1>
            <xm:f>'(3) Behind the scenes'!$B$7:$G$7</xm:f>
          </x14:formula1>
          <xm:sqref>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6092-7D09-1747-A334-BE4B8053B099}">
  <dimension ref="B1:G80"/>
  <sheetViews>
    <sheetView showGridLines="0" zoomScaleNormal="100" workbookViewId="0">
      <selection activeCell="J4" sqref="J4"/>
    </sheetView>
  </sheetViews>
  <sheetFormatPr defaultColWidth="10.77734375" defaultRowHeight="14.4"/>
  <cols>
    <col min="1" max="1" width="10.77734375" style="2"/>
    <col min="2" max="2" width="5.109375" style="3" bestFit="1" customWidth="1"/>
    <col min="3" max="3" width="40.44140625" style="2" customWidth="1"/>
    <col min="4" max="4" width="10.77734375" style="2"/>
    <col min="5" max="5" width="16.77734375" style="3" bestFit="1" customWidth="1"/>
    <col min="6" max="6" width="10.77734375" style="4"/>
    <col min="7" max="7" width="20" style="2" customWidth="1"/>
    <col min="8" max="16384" width="10.77734375" style="2"/>
  </cols>
  <sheetData>
    <row r="1" spans="2:7" ht="15" thickBot="1"/>
    <row r="2" spans="2:7" ht="29.4" thickBot="1">
      <c r="B2" s="229" t="s">
        <v>168</v>
      </c>
      <c r="C2" s="230"/>
      <c r="D2" s="230"/>
      <c r="E2" s="230"/>
      <c r="F2" s="230"/>
      <c r="G2" s="231"/>
    </row>
    <row r="3" spans="2:7" s="5" customFormat="1" ht="19.95" customHeight="1" thickBot="1">
      <c r="B3" s="6" t="s">
        <v>113</v>
      </c>
      <c r="C3" s="6" t="s">
        <v>54</v>
      </c>
      <c r="D3" s="6" t="s">
        <v>55</v>
      </c>
      <c r="E3" s="7" t="s">
        <v>56</v>
      </c>
      <c r="F3" s="8" t="s">
        <v>50</v>
      </c>
      <c r="G3" s="9" t="s">
        <v>59</v>
      </c>
    </row>
    <row r="4" spans="2:7" ht="103.95" customHeight="1" thickTop="1" thickBot="1">
      <c r="B4" s="10" t="str">
        <f>"1."</f>
        <v>1.</v>
      </c>
      <c r="C4" s="237" t="s">
        <v>162</v>
      </c>
      <c r="D4" s="237"/>
      <c r="E4" s="237"/>
      <c r="F4" s="11"/>
      <c r="G4" s="12"/>
    </row>
    <row r="5" spans="2:7">
      <c r="B5" s="13">
        <v>1.1000000000000001</v>
      </c>
      <c r="C5" s="14" t="s">
        <v>68</v>
      </c>
      <c r="D5" s="14" t="s">
        <v>64</v>
      </c>
      <c r="E5" s="69">
        <v>500</v>
      </c>
      <c r="F5" s="15"/>
      <c r="G5" s="16" t="s">
        <v>60</v>
      </c>
    </row>
    <row r="6" spans="2:7">
      <c r="B6" s="17">
        <v>1.2</v>
      </c>
      <c r="C6" s="2" t="s">
        <v>57</v>
      </c>
      <c r="D6" s="2" t="s">
        <v>64</v>
      </c>
      <c r="E6" s="70">
        <v>400</v>
      </c>
      <c r="G6" s="18" t="s">
        <v>61</v>
      </c>
    </row>
    <row r="7" spans="2:7" ht="15" thickBot="1">
      <c r="B7" s="19">
        <v>1.3</v>
      </c>
      <c r="C7" s="20" t="s">
        <v>58</v>
      </c>
      <c r="D7" s="20" t="s">
        <v>63</v>
      </c>
      <c r="E7" s="71">
        <v>3000</v>
      </c>
      <c r="F7" s="21"/>
      <c r="G7" s="22" t="s">
        <v>60</v>
      </c>
    </row>
    <row r="8" spans="2:7" ht="15" thickBot="1"/>
    <row r="9" spans="2:7" ht="55.95" customHeight="1" thickBot="1">
      <c r="B9" s="23" t="str">
        <f>"2."</f>
        <v>2.</v>
      </c>
      <c r="C9" s="240" t="s">
        <v>163</v>
      </c>
      <c r="D9" s="240"/>
      <c r="E9" s="240"/>
      <c r="F9" s="24"/>
      <c r="G9" s="25"/>
    </row>
    <row r="10" spans="2:7" ht="15" thickBot="1">
      <c r="B10" s="19">
        <v>2.1</v>
      </c>
      <c r="C10" s="20" t="s">
        <v>2</v>
      </c>
      <c r="D10" s="20" t="s">
        <v>133</v>
      </c>
      <c r="E10" s="72">
        <v>2000</v>
      </c>
      <c r="F10" s="21"/>
      <c r="G10" s="22" t="s">
        <v>60</v>
      </c>
    </row>
    <row r="11" spans="2:7" ht="15" thickBot="1">
      <c r="B11" s="26">
        <v>2.2000000000000002</v>
      </c>
      <c r="C11" s="27" t="s">
        <v>67</v>
      </c>
      <c r="D11" s="27"/>
      <c r="E11" s="28"/>
      <c r="F11" s="29"/>
      <c r="G11" s="30"/>
    </row>
    <row r="12" spans="2:7">
      <c r="B12" s="17" t="str">
        <f>"2.2.1"</f>
        <v>2.2.1</v>
      </c>
      <c r="C12" s="2" t="s">
        <v>134</v>
      </c>
      <c r="D12" s="2" t="s">
        <v>133</v>
      </c>
      <c r="E12" s="73" t="s">
        <v>5</v>
      </c>
      <c r="G12" s="18" t="s">
        <v>60</v>
      </c>
    </row>
    <row r="13" spans="2:7" ht="15" thickBot="1">
      <c r="B13" s="19" t="str">
        <f>"2.2.2"</f>
        <v>2.2.2</v>
      </c>
      <c r="C13" s="20" t="s">
        <v>70</v>
      </c>
      <c r="D13" s="20" t="s">
        <v>66</v>
      </c>
      <c r="E13" s="71"/>
      <c r="F13" s="21" t="s">
        <v>65</v>
      </c>
      <c r="G13" s="22" t="s">
        <v>62</v>
      </c>
    </row>
    <row r="14" spans="2:7" ht="15" thickBot="1">
      <c r="B14" s="26">
        <v>2.2999999999999998</v>
      </c>
      <c r="C14" s="31" t="s">
        <v>131</v>
      </c>
      <c r="D14" s="32"/>
      <c r="E14" s="33"/>
      <c r="F14" s="29"/>
      <c r="G14" s="34"/>
    </row>
    <row r="15" spans="2:7">
      <c r="B15" s="17" t="str">
        <f>"2.3.1"</f>
        <v>2.3.1</v>
      </c>
      <c r="C15" s="2" t="s">
        <v>69</v>
      </c>
      <c r="D15" s="2" t="s">
        <v>133</v>
      </c>
      <c r="E15" s="73" t="s">
        <v>3</v>
      </c>
      <c r="G15" s="18" t="s">
        <v>60</v>
      </c>
    </row>
    <row r="16" spans="2:7" ht="15" thickBot="1">
      <c r="B16" s="19" t="str">
        <f>"2.3.2"</f>
        <v>2.3.2</v>
      </c>
      <c r="C16" s="20" t="s">
        <v>70</v>
      </c>
      <c r="D16" s="20" t="s">
        <v>72</v>
      </c>
      <c r="E16" s="71">
        <v>50</v>
      </c>
      <c r="F16" s="21" t="s">
        <v>65</v>
      </c>
      <c r="G16" s="22" t="s">
        <v>62</v>
      </c>
    </row>
    <row r="17" spans="2:7" ht="15" thickBot="1"/>
    <row r="18" spans="2:7" ht="133.94999999999999" customHeight="1" thickBot="1">
      <c r="B18" s="23" t="str">
        <f>"3."</f>
        <v>3.</v>
      </c>
      <c r="C18" s="241" t="s">
        <v>161</v>
      </c>
      <c r="D18" s="241"/>
      <c r="E18" s="241"/>
      <c r="F18" s="24"/>
      <c r="G18" s="25"/>
    </row>
    <row r="19" spans="2:7">
      <c r="B19" s="17">
        <v>3.1</v>
      </c>
      <c r="C19" s="2" t="s">
        <v>187</v>
      </c>
      <c r="D19" s="2" t="s">
        <v>66</v>
      </c>
      <c r="E19" s="70"/>
      <c r="F19" s="4" t="s">
        <v>75</v>
      </c>
      <c r="G19" s="18" t="s">
        <v>62</v>
      </c>
    </row>
    <row r="20" spans="2:7" ht="15" thickBot="1">
      <c r="B20" s="19">
        <v>3.2</v>
      </c>
      <c r="C20" s="20" t="s">
        <v>73</v>
      </c>
      <c r="D20" s="20" t="s">
        <v>74</v>
      </c>
      <c r="E20" s="74"/>
      <c r="F20" s="21"/>
      <c r="G20" s="22" t="s">
        <v>62</v>
      </c>
    </row>
    <row r="21" spans="2:7" ht="15" thickBot="1"/>
    <row r="22" spans="2:7" ht="54" customHeight="1" thickBot="1">
      <c r="B22" s="35" t="str">
        <f>"4."</f>
        <v>4.</v>
      </c>
      <c r="C22" s="238" t="s">
        <v>101</v>
      </c>
      <c r="D22" s="238"/>
      <c r="E22" s="238"/>
      <c r="F22" s="36"/>
      <c r="G22" s="37"/>
    </row>
    <row r="23" spans="2:7" ht="49.95" customHeight="1">
      <c r="B23" s="38" t="str">
        <f>"4.1"</f>
        <v>4.1</v>
      </c>
      <c r="C23" s="239" t="s">
        <v>79</v>
      </c>
      <c r="D23" s="239"/>
      <c r="E23" s="239"/>
      <c r="F23" s="39"/>
      <c r="G23" s="40"/>
    </row>
    <row r="24" spans="2:7">
      <c r="B24" s="41" t="str">
        <f>"4.1.1"</f>
        <v>4.1.1</v>
      </c>
      <c r="C24" s="42" t="s">
        <v>76</v>
      </c>
      <c r="D24" s="42" t="s">
        <v>133</v>
      </c>
      <c r="E24" s="75"/>
      <c r="F24" s="43" t="s">
        <v>104</v>
      </c>
      <c r="G24" s="44" t="s">
        <v>62</v>
      </c>
    </row>
    <row r="25" spans="2:7">
      <c r="B25" s="45" t="str">
        <f>"4.1.2"</f>
        <v>4.1.2</v>
      </c>
      <c r="C25" s="2" t="s">
        <v>77</v>
      </c>
      <c r="D25" s="2" t="s">
        <v>133</v>
      </c>
      <c r="E25" s="70"/>
      <c r="F25" s="4" t="s">
        <v>170</v>
      </c>
      <c r="G25" s="46" t="s">
        <v>62</v>
      </c>
    </row>
    <row r="26" spans="2:7">
      <c r="B26" s="45" t="str">
        <f>"4.1.3"</f>
        <v>4.1.3</v>
      </c>
      <c r="C26" s="2" t="s">
        <v>138</v>
      </c>
      <c r="D26" s="2" t="s">
        <v>64</v>
      </c>
      <c r="E26" s="70"/>
      <c r="F26" s="4" t="s">
        <v>170</v>
      </c>
      <c r="G26" s="46" t="s">
        <v>62</v>
      </c>
    </row>
    <row r="27" spans="2:7">
      <c r="B27" s="45" t="str">
        <f>"4.1.4"</f>
        <v>4.1.4</v>
      </c>
      <c r="C27" s="47" t="s">
        <v>139</v>
      </c>
      <c r="D27" s="48" t="s">
        <v>74</v>
      </c>
      <c r="E27" s="49">
        <f>E26/E5</f>
        <v>0</v>
      </c>
      <c r="F27" s="4" t="s">
        <v>170</v>
      </c>
      <c r="G27" s="50" t="s">
        <v>112</v>
      </c>
    </row>
    <row r="28" spans="2:7">
      <c r="B28" s="45" t="str">
        <f>"4.1.5"</f>
        <v>4.1.5</v>
      </c>
      <c r="C28" s="2" t="s">
        <v>140</v>
      </c>
      <c r="D28" s="2" t="s">
        <v>133</v>
      </c>
      <c r="E28" s="70"/>
      <c r="F28" s="4" t="s">
        <v>170</v>
      </c>
      <c r="G28" s="46" t="s">
        <v>62</v>
      </c>
    </row>
    <row r="29" spans="2:7">
      <c r="B29" s="51" t="str">
        <f>"4.1.6"</f>
        <v>4.1.6</v>
      </c>
      <c r="C29" s="52" t="s">
        <v>78</v>
      </c>
      <c r="D29" s="52" t="s">
        <v>74</v>
      </c>
      <c r="E29" s="76"/>
      <c r="F29" s="53" t="s">
        <v>170</v>
      </c>
      <c r="G29" s="54" t="s">
        <v>62</v>
      </c>
    </row>
    <row r="30" spans="2:7" ht="15" thickBot="1"/>
    <row r="31" spans="2:7" ht="63" customHeight="1" thickBot="1">
      <c r="B31" s="55">
        <v>4.2</v>
      </c>
      <c r="C31" s="232" t="s">
        <v>95</v>
      </c>
      <c r="D31" s="232"/>
      <c r="E31" s="232"/>
      <c r="F31" s="29"/>
      <c r="G31" s="34"/>
    </row>
    <row r="32" spans="2:7">
      <c r="B32" s="13" t="str">
        <f>"4.2.1"</f>
        <v>4.2.1</v>
      </c>
      <c r="C32" s="56" t="s">
        <v>93</v>
      </c>
      <c r="D32" s="56" t="s">
        <v>80</v>
      </c>
      <c r="E32" s="69"/>
      <c r="F32" s="15" t="s">
        <v>104</v>
      </c>
      <c r="G32" s="16" t="s">
        <v>61</v>
      </c>
    </row>
    <row r="33" spans="2:7">
      <c r="B33" s="17" t="str">
        <f>"4.2.2"</f>
        <v>4.2.2</v>
      </c>
      <c r="C33" t="s">
        <v>92</v>
      </c>
      <c r="D33" t="s">
        <v>80</v>
      </c>
      <c r="E33" s="70"/>
      <c r="F33" s="4" t="s">
        <v>104</v>
      </c>
      <c r="G33" s="18" t="s">
        <v>61</v>
      </c>
    </row>
    <row r="34" spans="2:7">
      <c r="B34" s="17" t="str">
        <f>"4.2.3"</f>
        <v>4.2.3</v>
      </c>
      <c r="C34" t="s">
        <v>152</v>
      </c>
      <c r="D34" t="s">
        <v>80</v>
      </c>
      <c r="E34" s="70"/>
      <c r="F34" s="4" t="s">
        <v>104</v>
      </c>
      <c r="G34" s="18" t="s">
        <v>61</v>
      </c>
    </row>
    <row r="35" spans="2:7">
      <c r="B35" s="17" t="str">
        <f>"4.2.4"</f>
        <v>4.2.4</v>
      </c>
      <c r="C35" t="s">
        <v>91</v>
      </c>
      <c r="D35" t="s">
        <v>80</v>
      </c>
      <c r="E35" s="70"/>
      <c r="F35" s="4" t="s">
        <v>104</v>
      </c>
      <c r="G35" s="18" t="s">
        <v>61</v>
      </c>
    </row>
    <row r="36" spans="2:7">
      <c r="B36" s="17" t="str">
        <f>"4.2.5"</f>
        <v>4.2.5</v>
      </c>
      <c r="C36" t="s">
        <v>94</v>
      </c>
      <c r="D36" t="s">
        <v>80</v>
      </c>
      <c r="E36" s="70"/>
      <c r="F36" s="4" t="s">
        <v>104</v>
      </c>
      <c r="G36" s="18" t="s">
        <v>61</v>
      </c>
    </row>
    <row r="37" spans="2:7">
      <c r="B37" s="17" t="str">
        <f>"4.2.6"</f>
        <v>4.2.6</v>
      </c>
      <c r="C37" t="s">
        <v>90</v>
      </c>
      <c r="D37" t="s">
        <v>80</v>
      </c>
      <c r="E37" s="70"/>
      <c r="F37" s="4" t="s">
        <v>104</v>
      </c>
      <c r="G37" s="18" t="s">
        <v>61</v>
      </c>
    </row>
    <row r="38" spans="2:7">
      <c r="B38" s="17" t="str">
        <f>"4.2.7"</f>
        <v>4.2.7</v>
      </c>
      <c r="C38" t="s">
        <v>86</v>
      </c>
      <c r="D38" t="s">
        <v>80</v>
      </c>
      <c r="E38" s="70"/>
      <c r="F38" s="4" t="s">
        <v>104</v>
      </c>
      <c r="G38" s="18" t="s">
        <v>61</v>
      </c>
    </row>
    <row r="39" spans="2:7">
      <c r="B39" s="17" t="str">
        <f>"4.2.8"</f>
        <v>4.2.8</v>
      </c>
      <c r="C39" t="s">
        <v>87</v>
      </c>
      <c r="D39" t="s">
        <v>80</v>
      </c>
      <c r="E39" s="70"/>
      <c r="F39" s="4" t="s">
        <v>104</v>
      </c>
      <c r="G39" s="18" t="s">
        <v>61</v>
      </c>
    </row>
    <row r="40" spans="2:7">
      <c r="B40" s="17" t="str">
        <f>"4.2.9"</f>
        <v>4.2.9</v>
      </c>
      <c r="C40" t="s">
        <v>88</v>
      </c>
      <c r="D40" t="s">
        <v>80</v>
      </c>
      <c r="E40" s="70"/>
      <c r="F40" s="4" t="s">
        <v>104</v>
      </c>
      <c r="G40" s="18" t="s">
        <v>61</v>
      </c>
    </row>
    <row r="41" spans="2:7" ht="15" thickBot="1">
      <c r="B41" s="19" t="str">
        <f>"4.2.10"</f>
        <v>4.2.10</v>
      </c>
      <c r="C41" s="57" t="s">
        <v>89</v>
      </c>
      <c r="D41" s="57" t="s">
        <v>80</v>
      </c>
      <c r="E41" s="71"/>
      <c r="F41" s="21" t="s">
        <v>104</v>
      </c>
      <c r="G41" s="22" t="s">
        <v>61</v>
      </c>
    </row>
    <row r="42" spans="2:7" ht="15" thickBot="1"/>
    <row r="43" spans="2:7" ht="114" customHeight="1" thickBot="1">
      <c r="B43" s="55">
        <v>4.3</v>
      </c>
      <c r="C43" s="232" t="s">
        <v>164</v>
      </c>
      <c r="D43" s="232"/>
      <c r="E43" s="232"/>
      <c r="F43" s="29"/>
      <c r="G43" s="34"/>
    </row>
    <row r="44" spans="2:7">
      <c r="B44" s="13" t="str">
        <f>"4.3.1"</f>
        <v>4.3.1</v>
      </c>
      <c r="C44" s="14" t="s">
        <v>83</v>
      </c>
      <c r="D44" s="14" t="s">
        <v>80</v>
      </c>
      <c r="E44" s="69"/>
      <c r="F44" s="15" t="s">
        <v>189</v>
      </c>
      <c r="G44" s="16" t="s">
        <v>62</v>
      </c>
    </row>
    <row r="45" spans="2:7">
      <c r="B45" s="17" t="str">
        <f>"4.3.2"</f>
        <v>4.3.2</v>
      </c>
      <c r="C45" s="2" t="s">
        <v>84</v>
      </c>
      <c r="D45" s="2" t="s">
        <v>80</v>
      </c>
      <c r="E45" s="70"/>
      <c r="F45" s="4" t="s">
        <v>189</v>
      </c>
      <c r="G45" s="18" t="s">
        <v>62</v>
      </c>
    </row>
    <row r="46" spans="2:7">
      <c r="B46" s="17" t="str">
        <f>"4.3.3"</f>
        <v>4.3.3</v>
      </c>
      <c r="C46" s="2" t="s">
        <v>85</v>
      </c>
      <c r="D46" s="2" t="s">
        <v>80</v>
      </c>
      <c r="E46" s="70"/>
      <c r="F46" s="4" t="s">
        <v>189</v>
      </c>
      <c r="G46" s="18" t="s">
        <v>62</v>
      </c>
    </row>
    <row r="47" spans="2:7">
      <c r="B47" s="17" t="str">
        <f>"4.3.4"</f>
        <v>4.3.4</v>
      </c>
      <c r="C47" s="2" t="s">
        <v>81</v>
      </c>
      <c r="D47" s="2" t="s">
        <v>80</v>
      </c>
      <c r="E47" s="70"/>
      <c r="F47" s="4" t="s">
        <v>189</v>
      </c>
      <c r="G47" s="18" t="s">
        <v>62</v>
      </c>
    </row>
    <row r="48" spans="2:7">
      <c r="B48" s="17" t="str">
        <f>"4.3.5"</f>
        <v>4.3.5</v>
      </c>
      <c r="C48" s="2" t="s">
        <v>165</v>
      </c>
      <c r="D48" s="2" t="s">
        <v>74</v>
      </c>
      <c r="E48" s="77"/>
      <c r="F48" s="4" t="s">
        <v>71</v>
      </c>
      <c r="G48" s="18" t="s">
        <v>62</v>
      </c>
    </row>
    <row r="49" spans="2:7">
      <c r="B49" s="17" t="str">
        <f>"4.3.6"</f>
        <v>4.3.6</v>
      </c>
      <c r="C49" s="2" t="s">
        <v>82</v>
      </c>
      <c r="D49" s="2" t="s">
        <v>80</v>
      </c>
      <c r="E49" s="70"/>
      <c r="F49" s="4" t="s">
        <v>189</v>
      </c>
      <c r="G49" s="18" t="s">
        <v>62</v>
      </c>
    </row>
    <row r="50" spans="2:7" ht="15" thickBot="1">
      <c r="B50" s="19" t="str">
        <f>"4.3.7"</f>
        <v>4.3.7</v>
      </c>
      <c r="C50" s="20" t="s">
        <v>96</v>
      </c>
      <c r="D50" s="20" t="s">
        <v>80</v>
      </c>
      <c r="E50" s="71"/>
      <c r="F50" s="21" t="s">
        <v>189</v>
      </c>
      <c r="G50" s="22" t="s">
        <v>62</v>
      </c>
    </row>
    <row r="51" spans="2:7" ht="15" thickBot="1"/>
    <row r="52" spans="2:7" ht="94.95" customHeight="1" thickBot="1">
      <c r="B52" s="55">
        <v>4.4000000000000004</v>
      </c>
      <c r="C52" s="232" t="s">
        <v>166</v>
      </c>
      <c r="D52" s="232"/>
      <c r="E52" s="232"/>
      <c r="F52" s="29"/>
      <c r="G52" s="34"/>
    </row>
    <row r="53" spans="2:7">
      <c r="B53" s="17" t="str">
        <f>"4.4.1"</f>
        <v>4.4.1</v>
      </c>
      <c r="C53" s="2" t="s">
        <v>98</v>
      </c>
      <c r="D53" s="2" t="s">
        <v>97</v>
      </c>
      <c r="E53" s="70"/>
      <c r="F53" s="4" t="s">
        <v>102</v>
      </c>
      <c r="G53" s="18" t="s">
        <v>62</v>
      </c>
    </row>
    <row r="54" spans="2:7">
      <c r="B54" s="17" t="str">
        <f>"4.4.2"</f>
        <v>4.4.2</v>
      </c>
      <c r="C54" s="2" t="s">
        <v>99</v>
      </c>
      <c r="D54" s="2" t="s">
        <v>80</v>
      </c>
      <c r="E54" s="70"/>
      <c r="F54" s="4" t="s">
        <v>102</v>
      </c>
      <c r="G54" s="18" t="s">
        <v>62</v>
      </c>
    </row>
    <row r="55" spans="2:7" ht="15" thickBot="1">
      <c r="B55" s="19" t="str">
        <f>"4.4.3"</f>
        <v>4.4.3</v>
      </c>
      <c r="C55" s="20" t="s">
        <v>100</v>
      </c>
      <c r="D55" s="20" t="s">
        <v>74</v>
      </c>
      <c r="E55" s="74"/>
      <c r="F55" s="21" t="s">
        <v>71</v>
      </c>
      <c r="G55" s="22" t="s">
        <v>62</v>
      </c>
    </row>
    <row r="56" spans="2:7" ht="15" thickBot="1"/>
    <row r="57" spans="2:7" ht="18.600000000000001" thickBot="1">
      <c r="B57" s="35">
        <v>5</v>
      </c>
      <c r="C57" s="233" t="s">
        <v>43</v>
      </c>
      <c r="D57" s="234"/>
      <c r="E57" s="234"/>
      <c r="F57" s="59"/>
      <c r="G57" s="60"/>
    </row>
    <row r="58" spans="2:7">
      <c r="B58" s="17">
        <v>5.0999999999999996</v>
      </c>
      <c r="C58" s="2" t="s">
        <v>44</v>
      </c>
      <c r="D58" s="2" t="s">
        <v>105</v>
      </c>
      <c r="E58" s="70"/>
      <c r="F58" s="4" t="s">
        <v>103</v>
      </c>
      <c r="G58" s="18" t="s">
        <v>62</v>
      </c>
    </row>
    <row r="59" spans="2:7">
      <c r="B59" s="17">
        <v>5.2</v>
      </c>
      <c r="C59" s="2" t="s">
        <v>45</v>
      </c>
      <c r="D59" s="2" t="s">
        <v>105</v>
      </c>
      <c r="E59" s="70"/>
      <c r="F59" s="4" t="s">
        <v>103</v>
      </c>
      <c r="G59" s="18" t="s">
        <v>62</v>
      </c>
    </row>
    <row r="60" spans="2:7">
      <c r="B60" s="17">
        <v>5.3</v>
      </c>
      <c r="C60" s="2" t="s">
        <v>46</v>
      </c>
      <c r="D60" s="2" t="s">
        <v>105</v>
      </c>
      <c r="E60" s="70"/>
      <c r="F60" s="4" t="s">
        <v>103</v>
      </c>
      <c r="G60" s="18" t="s">
        <v>62</v>
      </c>
    </row>
    <row r="61" spans="2:7" ht="15" thickBot="1">
      <c r="B61" s="19">
        <v>5.4</v>
      </c>
      <c r="C61" s="20" t="s">
        <v>47</v>
      </c>
      <c r="D61" s="20" t="s">
        <v>105</v>
      </c>
      <c r="E61" s="71"/>
      <c r="F61" s="21" t="s">
        <v>103</v>
      </c>
      <c r="G61" s="22" t="s">
        <v>62</v>
      </c>
    </row>
    <row r="62" spans="2:7" ht="15" thickBot="1"/>
    <row r="63" spans="2:7" ht="52.95" customHeight="1" thickBot="1">
      <c r="B63" s="35">
        <v>6</v>
      </c>
      <c r="C63" s="236" t="s">
        <v>167</v>
      </c>
      <c r="D63" s="236"/>
      <c r="E63" s="236"/>
      <c r="F63" s="59"/>
      <c r="G63" s="60"/>
    </row>
    <row r="64" spans="2:7">
      <c r="B64" s="13" t="str">
        <f>"6.1"</f>
        <v>6.1</v>
      </c>
      <c r="C64" s="14" t="s">
        <v>109</v>
      </c>
      <c r="D64" s="14" t="s">
        <v>105</v>
      </c>
      <c r="E64" s="69"/>
      <c r="F64" s="15">
        <v>3.05</v>
      </c>
      <c r="G64" s="16" t="s">
        <v>62</v>
      </c>
    </row>
    <row r="65" spans="2:7" ht="15" thickBot="1">
      <c r="B65" s="19" t="str">
        <f>"6.2"</f>
        <v>6.2</v>
      </c>
      <c r="C65" s="20" t="s">
        <v>108</v>
      </c>
      <c r="D65" s="20" t="s">
        <v>97</v>
      </c>
      <c r="E65" s="71"/>
      <c r="F65" s="21">
        <v>3.05</v>
      </c>
      <c r="G65" s="22" t="s">
        <v>62</v>
      </c>
    </row>
    <row r="66" spans="2:7" ht="15" thickBot="1"/>
    <row r="67" spans="2:7" ht="18.600000000000001" thickBot="1">
      <c r="B67" s="35">
        <v>7</v>
      </c>
      <c r="C67" s="58" t="s">
        <v>106</v>
      </c>
      <c r="D67" s="61"/>
      <c r="E67" s="62"/>
      <c r="F67" s="59"/>
      <c r="G67" s="60"/>
    </row>
    <row r="68" spans="2:7" ht="15" thickBot="1">
      <c r="B68" s="19"/>
      <c r="C68" s="20" t="s">
        <v>107</v>
      </c>
      <c r="D68" s="20" t="s">
        <v>105</v>
      </c>
      <c r="E68" s="71"/>
      <c r="F68" s="21" t="s">
        <v>103</v>
      </c>
      <c r="G68" s="22" t="s">
        <v>61</v>
      </c>
    </row>
    <row r="69" spans="2:7" ht="15" thickBot="1"/>
    <row r="70" spans="2:7" ht="52.95" customHeight="1" thickBot="1">
      <c r="B70" s="63">
        <v>8</v>
      </c>
      <c r="C70" s="235" t="s">
        <v>186</v>
      </c>
      <c r="D70" s="235"/>
      <c r="E70" s="235"/>
      <c r="F70" s="64"/>
      <c r="G70" s="65"/>
    </row>
    <row r="71" spans="2:7">
      <c r="B71" s="13">
        <v>8.1</v>
      </c>
      <c r="C71" s="14" t="s">
        <v>25</v>
      </c>
      <c r="D71" s="14" t="s">
        <v>111</v>
      </c>
      <c r="E71" s="66">
        <f>'(hide) Bilan'!C14</f>
        <v>48</v>
      </c>
      <c r="F71" s="15" t="s">
        <v>103</v>
      </c>
      <c r="G71" s="16" t="s">
        <v>112</v>
      </c>
    </row>
    <row r="72" spans="2:7" ht="15" thickBot="1">
      <c r="B72" s="19">
        <v>8.1999999999999993</v>
      </c>
      <c r="C72" s="20" t="s">
        <v>26</v>
      </c>
      <c r="D72" s="20" t="s">
        <v>111</v>
      </c>
      <c r="E72" s="67">
        <f>'(hide) Bilan'!C15</f>
        <v>2.15</v>
      </c>
      <c r="F72" s="21" t="s">
        <v>103</v>
      </c>
      <c r="G72" s="22" t="s">
        <v>112</v>
      </c>
    </row>
    <row r="79" spans="2:7">
      <c r="C79" s="68"/>
    </row>
    <row r="80" spans="2:7">
      <c r="C80" s="68"/>
    </row>
  </sheetData>
  <sheetProtection algorithmName="SHA-512" hashValue="TWG+uliYO5Upx54fVvfwtek420fbbzTic2epxdKBUPblOlP4nmKDLhG5YLTJtYq1lkI1T9W8G5sEAf7Zs93Rog==" saltValue="WFA9VQj6lT9uTakV+LH6Ig==" spinCount="100000" sheet="1" objects="1" scenarios="1"/>
  <mergeCells count="12">
    <mergeCell ref="C70:E70"/>
    <mergeCell ref="C63:E63"/>
    <mergeCell ref="C4:E4"/>
    <mergeCell ref="C22:E22"/>
    <mergeCell ref="C23:E23"/>
    <mergeCell ref="C9:E9"/>
    <mergeCell ref="C18:E18"/>
    <mergeCell ref="B2:G2"/>
    <mergeCell ref="C31:E31"/>
    <mergeCell ref="C43:E43"/>
    <mergeCell ref="C52:E52"/>
    <mergeCell ref="C57:E57"/>
  </mergeCells>
  <phoneticPr fontId="6" type="noConversion"/>
  <conditionalFormatting sqref="E26">
    <cfRule type="containsText" dxfId="5" priority="1" operator="containsText" text="Facultatif">
      <formula>NOT(ISERROR(SEARCH("Facultatif",E26)))</formula>
    </cfRule>
    <cfRule type="containsText" dxfId="4" priority="2" operator="containsText" text="Recommandé">
      <formula>NOT(ISERROR(SEARCH("Recommandé",E26)))</formula>
    </cfRule>
    <cfRule type="containsText" dxfId="3" priority="3" operator="containsText" text="Obligatoire">
      <formula>NOT(ISERROR(SEARCH("Obligatoire",E26)))</formula>
    </cfRule>
  </conditionalFormatting>
  <conditionalFormatting sqref="G3:G21 G24:G69 G77:G1048576">
    <cfRule type="containsText" dxfId="2" priority="4" operator="containsText" text="Facultatif">
      <formula>NOT(ISERROR(SEARCH("Facultatif",G3)))</formula>
    </cfRule>
    <cfRule type="containsText" dxfId="1" priority="5" operator="containsText" text="Recommandé">
      <formula>NOT(ISERROR(SEARCH("Recommandé",G3)))</formula>
    </cfRule>
    <cfRule type="containsText" dxfId="0" priority="6" operator="containsText" text="Obligatoire">
      <formula>NOT(ISERROR(SEARCH("Obligatoire",G3)))</formula>
    </cfRule>
  </conditionalFormatting>
  <pageMargins left="0.7" right="0.7" top="0.75" bottom="0.75" header="0.3" footer="0.3"/>
  <ignoredErrors>
    <ignoredError sqref="B12:B13 B15:B16 B44:B50 B53:B55 B24:B29 B32 B33:B41" twoDigitTextYear="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FAA58FC-9E3F-F242-89BC-551D3E93B7BE}">
          <x14:formula1>
            <xm:f>'(3) Behind the scenes'!$B$7:$F$7</xm:f>
          </x14:formula1>
          <xm:sqref>E15</xm:sqref>
        </x14:dataValidation>
        <x14:dataValidation type="list" allowBlank="1" showInputMessage="1" showErrorMessage="1" xr:uid="{45646A14-6F54-6F4E-8AB3-B4FE6DD7E3A2}">
          <x14:formula1>
            <xm:f>'(3) Behind the scenes'!$B$2:$H$2</xm:f>
          </x14:formula1>
          <xm:sqref>E10</xm:sqref>
        </x14:dataValidation>
        <x14:dataValidation type="list" allowBlank="1" showInputMessage="1" showErrorMessage="1" xr:uid="{069FAB72-599B-7F42-86DC-8CBD9CEBDEFF}">
          <x14:formula1>
            <xm:f>'(3) Behind the scenes'!$B$7:$G$7</xm:f>
          </x14:formula1>
          <xm:sqref>E12</xm:sqref>
        </x14:dataValidation>
        <x14:dataValidation type="list" allowBlank="1" showInputMessage="1" showErrorMessage="1" xr:uid="{CB2455CC-104D-1148-BAF1-A57F80C3B168}">
          <x14:formula1>
            <xm:f>'(3) Behind the scenes'!$B$27:$B$28</xm:f>
          </x14:formula1>
          <xm:sqref>E24</xm:sqref>
        </x14:dataValidation>
        <x14:dataValidation type="list" allowBlank="1" showInputMessage="1" showErrorMessage="1" xr:uid="{60ECC079-3170-3B44-9113-15419EF1412D}">
          <x14:formula1>
            <xm:f>'(3) Behind the scenes'!$B$30:$B$31</xm:f>
          </x14:formula1>
          <xm:sqref>E25</xm:sqref>
        </x14:dataValidation>
        <x14:dataValidation type="list" allowBlank="1" showInputMessage="1" showErrorMessage="1" xr:uid="{8A38DC3E-2DCC-F34A-AFF2-B392B8AE7C96}">
          <x14:formula1>
            <xm:f>'(3) Behind the scenes'!$B$37:$B$38</xm:f>
          </x14:formula1>
          <xm:sqref>E28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EFA1-41B7-8C48-8230-CEC37D355FE5}">
  <dimension ref="B1:AQ50"/>
  <sheetViews>
    <sheetView showGridLines="0" topLeftCell="A3" zoomScaleNormal="100" workbookViewId="0">
      <selection activeCell="F15" sqref="F15"/>
    </sheetView>
  </sheetViews>
  <sheetFormatPr defaultColWidth="8.77734375" defaultRowHeight="14.4"/>
  <cols>
    <col min="2" max="2" width="41.44140625" customWidth="1"/>
    <col min="3" max="3" width="12.44140625" customWidth="1"/>
    <col min="4" max="4" width="11" customWidth="1"/>
    <col min="5" max="5" width="12" customWidth="1"/>
    <col min="6" max="6" width="10.77734375" customWidth="1"/>
    <col min="7" max="7" width="35.109375" customWidth="1"/>
    <col min="30" max="30" width="15.109375" customWidth="1"/>
  </cols>
  <sheetData>
    <row r="1" spans="2:43" ht="24" customHeight="1">
      <c r="B1" s="242"/>
      <c r="C1" s="242"/>
      <c r="D1" s="242"/>
      <c r="E1" s="242"/>
      <c r="F1" s="242"/>
      <c r="G1" s="242"/>
      <c r="H1" s="242"/>
      <c r="I1" s="242"/>
      <c r="J1" s="242"/>
      <c r="K1" s="242"/>
      <c r="L1" s="242"/>
      <c r="M1" s="242"/>
      <c r="N1" s="242"/>
      <c r="O1" s="242"/>
      <c r="P1" s="242"/>
      <c r="AD1" s="79" t="s">
        <v>31</v>
      </c>
      <c r="AE1" s="79" t="s">
        <v>32</v>
      </c>
      <c r="AF1" s="79" t="s">
        <v>33</v>
      </c>
      <c r="AG1" s="79"/>
      <c r="AH1" s="198">
        <f>H4</f>
        <v>2025</v>
      </c>
      <c r="AI1" s="79">
        <f>AH1+1</f>
        <v>2026</v>
      </c>
      <c r="AJ1" s="79">
        <f t="shared" ref="AJ1:AP1" si="0">AI1+1</f>
        <v>2027</v>
      </c>
      <c r="AK1" s="79">
        <f t="shared" si="0"/>
        <v>2028</v>
      </c>
      <c r="AL1" s="79">
        <f t="shared" si="0"/>
        <v>2029</v>
      </c>
      <c r="AM1" s="79">
        <f t="shared" si="0"/>
        <v>2030</v>
      </c>
      <c r="AN1" s="79">
        <f t="shared" si="0"/>
        <v>2031</v>
      </c>
      <c r="AO1" s="79">
        <f t="shared" si="0"/>
        <v>2032</v>
      </c>
      <c r="AP1" s="79">
        <f t="shared" si="0"/>
        <v>2033</v>
      </c>
      <c r="AQ1" s="79"/>
    </row>
    <row r="2" spans="2:43" ht="30" customHeight="1" thickBot="1">
      <c r="B2" s="78"/>
      <c r="C2" s="78"/>
      <c r="D2" s="78"/>
      <c r="E2" s="78"/>
      <c r="F2" s="78"/>
      <c r="G2" s="78"/>
      <c r="H2" s="78"/>
      <c r="I2" s="78"/>
      <c r="J2" s="78"/>
      <c r="K2" s="78"/>
      <c r="L2" s="78"/>
      <c r="M2" s="78"/>
      <c r="N2" s="78"/>
      <c r="O2" s="78"/>
      <c r="P2" s="78"/>
      <c r="AD2" s="79"/>
      <c r="AE2" s="79"/>
      <c r="AF2" s="79"/>
      <c r="AG2" s="79"/>
      <c r="AH2" s="79"/>
      <c r="AI2" s="79"/>
      <c r="AJ2" s="79"/>
      <c r="AK2" s="79"/>
      <c r="AL2" s="79"/>
      <c r="AM2" s="79"/>
      <c r="AN2" s="79"/>
      <c r="AO2" s="79"/>
      <c r="AP2" s="79"/>
      <c r="AQ2" s="79"/>
    </row>
    <row r="3" spans="2:43" ht="22.2" thickTop="1" thickBot="1">
      <c r="B3" s="243" t="s">
        <v>160</v>
      </c>
      <c r="C3" s="244"/>
      <c r="D3" s="245"/>
      <c r="E3" s="80"/>
      <c r="F3" s="80"/>
      <c r="G3" s="246" t="s">
        <v>159</v>
      </c>
      <c r="H3" s="247"/>
      <c r="I3" s="247"/>
      <c r="J3" s="247"/>
      <c r="K3" s="247"/>
      <c r="L3" s="247"/>
      <c r="M3" s="247"/>
      <c r="N3" s="247"/>
      <c r="O3" s="247"/>
      <c r="P3" s="248"/>
      <c r="AD3" s="79"/>
      <c r="AE3" s="79"/>
      <c r="AF3" s="79"/>
      <c r="AG3" s="79"/>
      <c r="AH3" s="79"/>
      <c r="AI3" s="79"/>
      <c r="AJ3" s="79"/>
      <c r="AK3" s="79"/>
      <c r="AL3" s="79"/>
      <c r="AM3" s="79"/>
      <c r="AN3" s="79"/>
      <c r="AO3" s="79"/>
      <c r="AP3" s="79"/>
      <c r="AQ3" s="79"/>
    </row>
    <row r="4" spans="2:43" ht="15.6">
      <c r="B4" s="183" t="s">
        <v>19</v>
      </c>
      <c r="C4" s="184" t="s">
        <v>20</v>
      </c>
      <c r="D4" s="185" t="s">
        <v>50</v>
      </c>
      <c r="E4" s="182"/>
      <c r="G4" s="189"/>
      <c r="H4" s="81">
        <v>2025</v>
      </c>
      <c r="I4" s="81">
        <f>H4+1</f>
        <v>2026</v>
      </c>
      <c r="J4" s="81">
        <f t="shared" ref="J4:P4" si="1">I4+1</f>
        <v>2027</v>
      </c>
      <c r="K4" s="81">
        <f t="shared" si="1"/>
        <v>2028</v>
      </c>
      <c r="L4" s="81">
        <f t="shared" si="1"/>
        <v>2029</v>
      </c>
      <c r="M4" s="81">
        <f t="shared" si="1"/>
        <v>2030</v>
      </c>
      <c r="N4" s="81">
        <f t="shared" si="1"/>
        <v>2031</v>
      </c>
      <c r="O4" s="81">
        <f t="shared" si="1"/>
        <v>2032</v>
      </c>
      <c r="P4" s="188">
        <f t="shared" si="1"/>
        <v>2033</v>
      </c>
      <c r="AD4" t="str">
        <f t="shared" ref="AD4:AD18" si="2">C28</f>
        <v>Electricité</v>
      </c>
      <c r="AE4">
        <f t="shared" ref="AE4:AE18" si="3">D28</f>
        <v>2027</v>
      </c>
      <c r="AF4">
        <f t="shared" ref="AF4:AF18" si="4">F28</f>
        <v>4</v>
      </c>
      <c r="AH4">
        <f>IF(AG4&gt;0,AG4,IF(AH$1=$AE4,$AF4,0))</f>
        <v>0</v>
      </c>
      <c r="AI4">
        <f t="shared" ref="AI4:AP4" si="5">IF(AH4&gt;0,AH4,IF(AI$1=$AE4,$AF4,0))</f>
        <v>0</v>
      </c>
      <c r="AJ4">
        <f t="shared" si="5"/>
        <v>4</v>
      </c>
      <c r="AK4">
        <f t="shared" si="5"/>
        <v>4</v>
      </c>
      <c r="AL4">
        <f t="shared" si="5"/>
        <v>4</v>
      </c>
      <c r="AM4">
        <f t="shared" si="5"/>
        <v>4</v>
      </c>
      <c r="AN4">
        <f t="shared" si="5"/>
        <v>4</v>
      </c>
      <c r="AO4">
        <f t="shared" si="5"/>
        <v>4</v>
      </c>
      <c r="AP4">
        <f t="shared" si="5"/>
        <v>4</v>
      </c>
    </row>
    <row r="5" spans="2:43">
      <c r="B5" s="82" t="s">
        <v>21</v>
      </c>
      <c r="C5" s="83">
        <f>'(hide) Bilan'!C2</f>
        <v>66.163200000000003</v>
      </c>
      <c r="D5" s="181" t="s">
        <v>65</v>
      </c>
      <c r="E5" s="68"/>
      <c r="G5" s="190" t="str">
        <f>B5</f>
        <v>Chauffage</v>
      </c>
      <c r="H5" s="83">
        <f t="shared" ref="H5:H22" si="6">C5</f>
        <v>66.163200000000003</v>
      </c>
      <c r="I5" s="83">
        <f>MAX(0,$H5-AI33)</f>
        <v>66.163200000000003</v>
      </c>
      <c r="J5" s="83">
        <f t="shared" ref="J5:P20" si="7">MAX(0,$H5-AJ33)</f>
        <v>66.163200000000003</v>
      </c>
      <c r="K5" s="83">
        <f t="shared" si="7"/>
        <v>66.163200000000003</v>
      </c>
      <c r="L5" s="83">
        <f t="shared" si="7"/>
        <v>66.163200000000003</v>
      </c>
      <c r="M5" s="83">
        <f t="shared" si="7"/>
        <v>66.163200000000003</v>
      </c>
      <c r="N5" s="83">
        <f t="shared" si="7"/>
        <v>66.163200000000003</v>
      </c>
      <c r="O5" s="83">
        <f t="shared" si="7"/>
        <v>66.163200000000003</v>
      </c>
      <c r="P5" s="187">
        <f t="shared" si="7"/>
        <v>66.163200000000003</v>
      </c>
      <c r="AD5" t="str">
        <f t="shared" si="2"/>
        <v>Consommables</v>
      </c>
      <c r="AE5" t="str">
        <f t="shared" si="3"/>
        <v xml:space="preserve">année de réalisation </v>
      </c>
      <c r="AF5">
        <f>F29</f>
        <v>3</v>
      </c>
      <c r="AH5">
        <f t="shared" ref="AH5:AP5" si="8">IF(AG5&gt;0,AG5,IF(AH$1=$AE5,$AF5,0))</f>
        <v>0</v>
      </c>
      <c r="AI5">
        <f t="shared" si="8"/>
        <v>0</v>
      </c>
      <c r="AJ5">
        <f t="shared" si="8"/>
        <v>0</v>
      </c>
      <c r="AK5">
        <f t="shared" si="8"/>
        <v>0</v>
      </c>
      <c r="AL5">
        <f t="shared" si="8"/>
        <v>0</v>
      </c>
      <c r="AM5">
        <f t="shared" si="8"/>
        <v>0</v>
      </c>
      <c r="AN5">
        <f t="shared" si="8"/>
        <v>0</v>
      </c>
      <c r="AO5">
        <f t="shared" si="8"/>
        <v>0</v>
      </c>
      <c r="AP5">
        <f t="shared" si="8"/>
        <v>0</v>
      </c>
    </row>
    <row r="6" spans="2:43">
      <c r="B6" s="82" t="s">
        <v>0</v>
      </c>
      <c r="C6" s="83">
        <f>'(hide) Bilan'!C3</f>
        <v>5.4000151200423359</v>
      </c>
      <c r="D6" s="181" t="s">
        <v>65</v>
      </c>
      <c r="E6" s="68"/>
      <c r="G6" s="190" t="str">
        <f t="shared" ref="G6:G23" si="9">B6</f>
        <v>Production</v>
      </c>
      <c r="H6" s="83">
        <f t="shared" si="6"/>
        <v>5.4000151200423359</v>
      </c>
      <c r="I6" s="83">
        <f t="shared" ref="I6:I23" si="10">MAX(0,$H6-AI34)</f>
        <v>5.4000151200423359</v>
      </c>
      <c r="J6" s="83">
        <f t="shared" si="7"/>
        <v>5.4000151200423359</v>
      </c>
      <c r="K6" s="83">
        <f t="shared" si="7"/>
        <v>5.4000151200423359</v>
      </c>
      <c r="L6" s="83">
        <f t="shared" si="7"/>
        <v>5.4000151200423359</v>
      </c>
      <c r="M6" s="83">
        <f t="shared" si="7"/>
        <v>5.4000151200423359</v>
      </c>
      <c r="N6" s="83">
        <f t="shared" si="7"/>
        <v>5.4000151200423359</v>
      </c>
      <c r="O6" s="83">
        <f t="shared" si="7"/>
        <v>5.4000151200423359</v>
      </c>
      <c r="P6" s="187">
        <f t="shared" si="7"/>
        <v>5.4000151200423359</v>
      </c>
      <c r="AD6">
        <f t="shared" si="2"/>
        <v>0</v>
      </c>
      <c r="AE6">
        <f t="shared" si="3"/>
        <v>2026</v>
      </c>
      <c r="AF6">
        <f>F30</f>
        <v>0</v>
      </c>
      <c r="AH6">
        <f t="shared" ref="AH6:AP6" si="11">IF(AG6&gt;0,AG6,IF(AH$1=$AE6,$AF6,0))</f>
        <v>0</v>
      </c>
      <c r="AI6">
        <f t="shared" si="11"/>
        <v>0</v>
      </c>
      <c r="AJ6">
        <f t="shared" si="11"/>
        <v>0</v>
      </c>
      <c r="AK6">
        <f t="shared" si="11"/>
        <v>0</v>
      </c>
      <c r="AL6">
        <f t="shared" si="11"/>
        <v>0</v>
      </c>
      <c r="AM6">
        <f t="shared" si="11"/>
        <v>0</v>
      </c>
      <c r="AN6">
        <f t="shared" si="11"/>
        <v>0</v>
      </c>
      <c r="AO6">
        <f t="shared" si="11"/>
        <v>0</v>
      </c>
      <c r="AP6">
        <f t="shared" si="11"/>
        <v>0</v>
      </c>
    </row>
    <row r="7" spans="2:43">
      <c r="B7" s="82" t="s">
        <v>22</v>
      </c>
      <c r="C7" s="83">
        <f>'(hide) Bilan'!C4</f>
        <v>48.6</v>
      </c>
      <c r="D7" s="181" t="s">
        <v>75</v>
      </c>
      <c r="E7" s="68"/>
      <c r="G7" s="190" t="str">
        <f t="shared" si="9"/>
        <v>Electricité</v>
      </c>
      <c r="H7" s="83">
        <f t="shared" si="6"/>
        <v>48.6</v>
      </c>
      <c r="I7" s="83">
        <f t="shared" si="10"/>
        <v>48.6</v>
      </c>
      <c r="J7" s="83">
        <f t="shared" si="7"/>
        <v>44.6</v>
      </c>
      <c r="K7" s="83">
        <f t="shared" si="7"/>
        <v>44.6</v>
      </c>
      <c r="L7" s="83">
        <f t="shared" si="7"/>
        <v>44.6</v>
      </c>
      <c r="M7" s="83">
        <f t="shared" si="7"/>
        <v>44.6</v>
      </c>
      <c r="N7" s="83">
        <f t="shared" si="7"/>
        <v>44.6</v>
      </c>
      <c r="O7" s="83">
        <f t="shared" si="7"/>
        <v>44.6</v>
      </c>
      <c r="P7" s="187">
        <f t="shared" si="7"/>
        <v>44.6</v>
      </c>
      <c r="AD7">
        <f t="shared" si="2"/>
        <v>0</v>
      </c>
      <c r="AE7">
        <f t="shared" si="3"/>
        <v>0</v>
      </c>
      <c r="AF7">
        <f t="shared" si="4"/>
        <v>0</v>
      </c>
      <c r="AH7">
        <f t="shared" ref="AH7:AP7" si="12">IF(AG7&gt;0,AG7,IF(AH$1=$AE7,$AF7,0))</f>
        <v>0</v>
      </c>
      <c r="AI7">
        <f t="shared" si="12"/>
        <v>0</v>
      </c>
      <c r="AJ7">
        <f t="shared" si="12"/>
        <v>0</v>
      </c>
      <c r="AK7">
        <f t="shared" si="12"/>
        <v>0</v>
      </c>
      <c r="AL7">
        <f t="shared" si="12"/>
        <v>0</v>
      </c>
      <c r="AM7">
        <f t="shared" si="12"/>
        <v>0</v>
      </c>
      <c r="AN7">
        <f t="shared" si="12"/>
        <v>0</v>
      </c>
      <c r="AO7">
        <f t="shared" si="12"/>
        <v>0</v>
      </c>
      <c r="AP7">
        <f t="shared" si="12"/>
        <v>0</v>
      </c>
    </row>
    <row r="8" spans="2:43">
      <c r="B8" s="84" t="s">
        <v>40</v>
      </c>
      <c r="C8" s="83"/>
      <c r="D8" s="181"/>
      <c r="E8" s="68"/>
      <c r="G8" s="191" t="str">
        <f t="shared" si="9"/>
        <v>Mobilité des personnes</v>
      </c>
      <c r="H8" s="83">
        <f t="shared" si="6"/>
        <v>0</v>
      </c>
      <c r="I8" s="83">
        <f t="shared" si="10"/>
        <v>0</v>
      </c>
      <c r="J8" s="83">
        <f t="shared" si="7"/>
        <v>0</v>
      </c>
      <c r="K8" s="83">
        <f t="shared" si="7"/>
        <v>0</v>
      </c>
      <c r="L8" s="83">
        <f t="shared" si="7"/>
        <v>0</v>
      </c>
      <c r="M8" s="83">
        <f t="shared" si="7"/>
        <v>0</v>
      </c>
      <c r="N8" s="83">
        <f t="shared" si="7"/>
        <v>0</v>
      </c>
      <c r="O8" s="83">
        <f t="shared" si="7"/>
        <v>0</v>
      </c>
      <c r="P8" s="187">
        <f t="shared" si="7"/>
        <v>0</v>
      </c>
      <c r="AD8">
        <f t="shared" si="2"/>
        <v>0</v>
      </c>
      <c r="AE8">
        <f t="shared" si="3"/>
        <v>0</v>
      </c>
      <c r="AF8">
        <f t="shared" si="4"/>
        <v>0</v>
      </c>
      <c r="AH8">
        <f t="shared" ref="AH8:AP8" si="13">IF(AG8&gt;0,AG8,IF(AH$1=$AE8,$AF8,0))</f>
        <v>0</v>
      </c>
      <c r="AI8">
        <f t="shared" si="13"/>
        <v>0</v>
      </c>
      <c r="AJ8">
        <f t="shared" si="13"/>
        <v>0</v>
      </c>
      <c r="AK8">
        <f t="shared" si="13"/>
        <v>0</v>
      </c>
      <c r="AL8">
        <f t="shared" si="13"/>
        <v>0</v>
      </c>
      <c r="AM8">
        <f t="shared" si="13"/>
        <v>0</v>
      </c>
      <c r="AN8">
        <f t="shared" si="13"/>
        <v>0</v>
      </c>
      <c r="AO8">
        <f t="shared" si="13"/>
        <v>0</v>
      </c>
      <c r="AP8">
        <f t="shared" si="13"/>
        <v>0</v>
      </c>
    </row>
    <row r="9" spans="2:43">
      <c r="B9" s="85" t="s">
        <v>23</v>
      </c>
      <c r="C9" s="83">
        <f>'(hide) Bilan'!C6</f>
        <v>498.61689696000008</v>
      </c>
      <c r="D9" s="181" t="s">
        <v>104</v>
      </c>
      <c r="E9" s="68"/>
      <c r="G9" s="192" t="str">
        <f t="shared" si="9"/>
        <v>Mobilité pendulaire</v>
      </c>
      <c r="H9" s="83">
        <f t="shared" si="6"/>
        <v>498.61689696000008</v>
      </c>
      <c r="I9" s="83">
        <f t="shared" si="10"/>
        <v>498.61689696000008</v>
      </c>
      <c r="J9" s="83">
        <f t="shared" si="7"/>
        <v>498.61689696000008</v>
      </c>
      <c r="K9" s="83">
        <f t="shared" si="7"/>
        <v>498.61689696000008</v>
      </c>
      <c r="L9" s="83">
        <f t="shared" si="7"/>
        <v>498.61689696000008</v>
      </c>
      <c r="M9" s="83">
        <f t="shared" si="7"/>
        <v>498.61689696000008</v>
      </c>
      <c r="N9" s="83">
        <f t="shared" si="7"/>
        <v>498.61689696000008</v>
      </c>
      <c r="O9" s="83">
        <f t="shared" si="7"/>
        <v>498.61689696000008</v>
      </c>
      <c r="P9" s="187">
        <f t="shared" si="7"/>
        <v>498.61689696000008</v>
      </c>
      <c r="AD9">
        <f t="shared" si="2"/>
        <v>0</v>
      </c>
      <c r="AE9">
        <f t="shared" si="3"/>
        <v>0</v>
      </c>
      <c r="AF9">
        <f t="shared" si="4"/>
        <v>0</v>
      </c>
      <c r="AH9">
        <f t="shared" ref="AH9:AP9" si="14">IF(AG9&gt;0,AG9,IF(AH$1=$AE9,$AF9,0))</f>
        <v>0</v>
      </c>
      <c r="AI9">
        <f t="shared" si="14"/>
        <v>0</v>
      </c>
      <c r="AJ9">
        <f t="shared" si="14"/>
        <v>0</v>
      </c>
      <c r="AK9">
        <f t="shared" si="14"/>
        <v>0</v>
      </c>
      <c r="AL9">
        <f t="shared" si="14"/>
        <v>0</v>
      </c>
      <c r="AM9">
        <f t="shared" si="14"/>
        <v>0</v>
      </c>
      <c r="AN9">
        <f t="shared" si="14"/>
        <v>0</v>
      </c>
      <c r="AO9">
        <f t="shared" si="14"/>
        <v>0</v>
      </c>
      <c r="AP9">
        <f t="shared" si="14"/>
        <v>0</v>
      </c>
    </row>
    <row r="10" spans="2:43">
      <c r="B10" s="85" t="s">
        <v>38</v>
      </c>
      <c r="C10" s="83">
        <f>'(hide) Bilan'!C7</f>
        <v>0</v>
      </c>
      <c r="D10" s="181" t="s">
        <v>189</v>
      </c>
      <c r="E10" s="68"/>
      <c r="G10" s="192" t="str">
        <f t="shared" si="9"/>
        <v>Mobilité professionnelle voiture privées</v>
      </c>
      <c r="H10" s="83">
        <f t="shared" si="6"/>
        <v>0</v>
      </c>
      <c r="I10" s="83">
        <f t="shared" si="10"/>
        <v>0</v>
      </c>
      <c r="J10" s="83">
        <f t="shared" si="7"/>
        <v>0</v>
      </c>
      <c r="K10" s="83">
        <f t="shared" si="7"/>
        <v>0</v>
      </c>
      <c r="L10" s="83">
        <f t="shared" si="7"/>
        <v>0</v>
      </c>
      <c r="M10" s="83">
        <f t="shared" si="7"/>
        <v>0</v>
      </c>
      <c r="N10" s="83">
        <f t="shared" si="7"/>
        <v>0</v>
      </c>
      <c r="O10" s="83">
        <f t="shared" si="7"/>
        <v>0</v>
      </c>
      <c r="P10" s="187">
        <f t="shared" si="7"/>
        <v>0</v>
      </c>
      <c r="AD10">
        <f t="shared" si="2"/>
        <v>0</v>
      </c>
      <c r="AE10">
        <f t="shared" si="3"/>
        <v>0</v>
      </c>
      <c r="AF10">
        <f t="shared" si="4"/>
        <v>0</v>
      </c>
      <c r="AH10">
        <f t="shared" ref="AH10:AP10" si="15">IF(AG10&gt;0,AG10,IF(AH$1=$AE10,$AF10,0))</f>
        <v>0</v>
      </c>
      <c r="AI10">
        <f t="shared" si="15"/>
        <v>0</v>
      </c>
      <c r="AJ10">
        <f t="shared" si="15"/>
        <v>0</v>
      </c>
      <c r="AK10">
        <f t="shared" si="15"/>
        <v>0</v>
      </c>
      <c r="AL10">
        <f t="shared" si="15"/>
        <v>0</v>
      </c>
      <c r="AM10">
        <f t="shared" si="15"/>
        <v>0</v>
      </c>
      <c r="AN10">
        <f t="shared" si="15"/>
        <v>0</v>
      </c>
      <c r="AO10">
        <f t="shared" si="15"/>
        <v>0</v>
      </c>
      <c r="AP10">
        <f t="shared" si="15"/>
        <v>0</v>
      </c>
    </row>
    <row r="11" spans="2:43">
      <c r="B11" s="85" t="s">
        <v>37</v>
      </c>
      <c r="C11" s="83">
        <f>'(hide) Bilan'!C8</f>
        <v>0</v>
      </c>
      <c r="D11" s="181" t="s">
        <v>71</v>
      </c>
      <c r="E11" s="68"/>
      <c r="G11" s="192" t="str">
        <f t="shared" si="9"/>
        <v>Mobilité professionnelle voiture entreprises</v>
      </c>
      <c r="H11" s="83">
        <f t="shared" si="6"/>
        <v>0</v>
      </c>
      <c r="I11" s="83">
        <f t="shared" si="10"/>
        <v>0</v>
      </c>
      <c r="J11" s="83">
        <f t="shared" si="7"/>
        <v>0</v>
      </c>
      <c r="K11" s="83">
        <f t="shared" si="7"/>
        <v>0</v>
      </c>
      <c r="L11" s="83">
        <f t="shared" si="7"/>
        <v>0</v>
      </c>
      <c r="M11" s="83">
        <f t="shared" si="7"/>
        <v>0</v>
      </c>
      <c r="N11" s="83">
        <f t="shared" si="7"/>
        <v>0</v>
      </c>
      <c r="O11" s="83">
        <f t="shared" si="7"/>
        <v>0</v>
      </c>
      <c r="P11" s="187">
        <f t="shared" si="7"/>
        <v>0</v>
      </c>
      <c r="AD11">
        <f t="shared" si="2"/>
        <v>0</v>
      </c>
      <c r="AE11">
        <f t="shared" si="3"/>
        <v>0</v>
      </c>
      <c r="AF11">
        <f t="shared" si="4"/>
        <v>0</v>
      </c>
      <c r="AH11">
        <f t="shared" ref="AH11:AP11" si="16">IF(AG11&gt;0,AG11,IF(AH$1=$AE11,$AF11,0))</f>
        <v>0</v>
      </c>
      <c r="AI11">
        <f t="shared" si="16"/>
        <v>0</v>
      </c>
      <c r="AJ11">
        <f t="shared" si="16"/>
        <v>0</v>
      </c>
      <c r="AK11">
        <f t="shared" si="16"/>
        <v>0</v>
      </c>
      <c r="AL11">
        <f t="shared" si="16"/>
        <v>0</v>
      </c>
      <c r="AM11">
        <f t="shared" si="16"/>
        <v>0</v>
      </c>
      <c r="AN11">
        <f t="shared" si="16"/>
        <v>0</v>
      </c>
      <c r="AO11">
        <f t="shared" si="16"/>
        <v>0</v>
      </c>
      <c r="AP11">
        <f t="shared" si="16"/>
        <v>0</v>
      </c>
    </row>
    <row r="12" spans="2:43">
      <c r="B12" s="85" t="s">
        <v>36</v>
      </c>
      <c r="C12" s="83">
        <f>'(hide) Bilan'!C9</f>
        <v>0</v>
      </c>
      <c r="D12" s="181" t="s">
        <v>189</v>
      </c>
      <c r="E12" s="68"/>
      <c r="G12" s="192" t="str">
        <f t="shared" si="9"/>
        <v>Mobilité professionnelle transports publics</v>
      </c>
      <c r="H12" s="83">
        <f t="shared" si="6"/>
        <v>0</v>
      </c>
      <c r="I12" s="83">
        <f t="shared" si="10"/>
        <v>0</v>
      </c>
      <c r="J12" s="83">
        <f t="shared" si="7"/>
        <v>0</v>
      </c>
      <c r="K12" s="83">
        <f t="shared" si="7"/>
        <v>0</v>
      </c>
      <c r="L12" s="83">
        <f t="shared" si="7"/>
        <v>0</v>
      </c>
      <c r="M12" s="83">
        <f t="shared" si="7"/>
        <v>0</v>
      </c>
      <c r="N12" s="83">
        <f t="shared" si="7"/>
        <v>0</v>
      </c>
      <c r="O12" s="83">
        <f t="shared" si="7"/>
        <v>0</v>
      </c>
      <c r="P12" s="187">
        <f t="shared" si="7"/>
        <v>0</v>
      </c>
      <c r="AD12">
        <f t="shared" si="2"/>
        <v>0</v>
      </c>
      <c r="AE12">
        <f t="shared" si="3"/>
        <v>0</v>
      </c>
      <c r="AF12">
        <f t="shared" si="4"/>
        <v>0</v>
      </c>
      <c r="AH12">
        <f t="shared" ref="AH12:AP12" si="17">IF(AG12&gt;0,AG12,IF(AH$1=$AE12,$AF12,0))</f>
        <v>0</v>
      </c>
      <c r="AI12">
        <f t="shared" si="17"/>
        <v>0</v>
      </c>
      <c r="AJ12">
        <f t="shared" si="17"/>
        <v>0</v>
      </c>
      <c r="AK12">
        <f t="shared" si="17"/>
        <v>0</v>
      </c>
      <c r="AL12">
        <f t="shared" si="17"/>
        <v>0</v>
      </c>
      <c r="AM12">
        <f t="shared" si="17"/>
        <v>0</v>
      </c>
      <c r="AN12">
        <f t="shared" si="17"/>
        <v>0</v>
      </c>
      <c r="AO12">
        <f t="shared" si="17"/>
        <v>0</v>
      </c>
      <c r="AP12">
        <f t="shared" si="17"/>
        <v>0</v>
      </c>
    </row>
    <row r="13" spans="2:43">
      <c r="B13" s="84" t="s">
        <v>39</v>
      </c>
      <c r="C13" s="83"/>
      <c r="D13" s="181"/>
      <c r="E13" s="68"/>
      <c r="G13" s="191" t="str">
        <f t="shared" si="9"/>
        <v xml:space="preserve">Transport marchandises </v>
      </c>
      <c r="H13" s="83">
        <f t="shared" si="6"/>
        <v>0</v>
      </c>
      <c r="I13" s="83">
        <f t="shared" si="10"/>
        <v>0</v>
      </c>
      <c r="J13" s="83">
        <f t="shared" si="7"/>
        <v>0</v>
      </c>
      <c r="K13" s="83">
        <f t="shared" si="7"/>
        <v>0</v>
      </c>
      <c r="L13" s="83">
        <f t="shared" si="7"/>
        <v>0</v>
      </c>
      <c r="M13" s="83">
        <f t="shared" si="7"/>
        <v>0</v>
      </c>
      <c r="N13" s="83">
        <f t="shared" si="7"/>
        <v>0</v>
      </c>
      <c r="O13" s="83">
        <f t="shared" si="7"/>
        <v>0</v>
      </c>
      <c r="P13" s="187">
        <f t="shared" si="7"/>
        <v>0</v>
      </c>
      <c r="AD13">
        <f t="shared" si="2"/>
        <v>0</v>
      </c>
      <c r="AE13">
        <f t="shared" si="3"/>
        <v>0</v>
      </c>
      <c r="AF13">
        <f t="shared" si="4"/>
        <v>0</v>
      </c>
      <c r="AH13">
        <f t="shared" ref="AH13:AP13" si="18">IF(AG13&gt;0,AG13,IF(AH$1=$AE13,$AF13,0))</f>
        <v>0</v>
      </c>
      <c r="AI13">
        <f t="shared" si="18"/>
        <v>0</v>
      </c>
      <c r="AJ13">
        <f t="shared" si="18"/>
        <v>0</v>
      </c>
      <c r="AK13">
        <f t="shared" si="18"/>
        <v>0</v>
      </c>
      <c r="AL13">
        <f t="shared" si="18"/>
        <v>0</v>
      </c>
      <c r="AM13">
        <f t="shared" si="18"/>
        <v>0</v>
      </c>
      <c r="AN13">
        <f t="shared" si="18"/>
        <v>0</v>
      </c>
      <c r="AO13">
        <f t="shared" si="18"/>
        <v>0</v>
      </c>
      <c r="AP13">
        <f t="shared" si="18"/>
        <v>0</v>
      </c>
    </row>
    <row r="14" spans="2:43">
      <c r="B14" s="85" t="s">
        <v>41</v>
      </c>
      <c r="C14" s="83">
        <f>'(hide) Bilan'!C11</f>
        <v>0</v>
      </c>
      <c r="D14" s="181" t="s">
        <v>71</v>
      </c>
      <c r="E14" s="68"/>
      <c r="G14" s="192" t="str">
        <f t="shared" si="9"/>
        <v>Transport véhicules d'entreprise</v>
      </c>
      <c r="H14" s="83">
        <f t="shared" si="6"/>
        <v>0</v>
      </c>
      <c r="I14" s="83">
        <f t="shared" si="10"/>
        <v>0</v>
      </c>
      <c r="J14" s="83">
        <f t="shared" si="7"/>
        <v>0</v>
      </c>
      <c r="K14" s="83">
        <f t="shared" si="7"/>
        <v>0</v>
      </c>
      <c r="L14" s="83">
        <f t="shared" si="7"/>
        <v>0</v>
      </c>
      <c r="M14" s="83">
        <f t="shared" si="7"/>
        <v>0</v>
      </c>
      <c r="N14" s="83">
        <f t="shared" si="7"/>
        <v>0</v>
      </c>
      <c r="O14" s="83">
        <f t="shared" si="7"/>
        <v>0</v>
      </c>
      <c r="P14" s="187">
        <f t="shared" si="7"/>
        <v>0</v>
      </c>
      <c r="AD14">
        <f t="shared" si="2"/>
        <v>0</v>
      </c>
      <c r="AE14">
        <f t="shared" si="3"/>
        <v>0</v>
      </c>
      <c r="AF14">
        <f t="shared" si="4"/>
        <v>0</v>
      </c>
      <c r="AH14">
        <f t="shared" ref="AH14:AP14" si="19">IF(AG14&gt;0,AG14,IF(AH$1=$AE14,$AF14,0))</f>
        <v>0</v>
      </c>
      <c r="AI14">
        <f t="shared" si="19"/>
        <v>0</v>
      </c>
      <c r="AJ14">
        <f t="shared" si="19"/>
        <v>0</v>
      </c>
      <c r="AK14">
        <f t="shared" si="19"/>
        <v>0</v>
      </c>
      <c r="AL14">
        <f t="shared" si="19"/>
        <v>0</v>
      </c>
      <c r="AM14">
        <f t="shared" si="19"/>
        <v>0</v>
      </c>
      <c r="AN14">
        <f t="shared" si="19"/>
        <v>0</v>
      </c>
      <c r="AO14">
        <f t="shared" si="19"/>
        <v>0</v>
      </c>
      <c r="AP14">
        <f t="shared" si="19"/>
        <v>0</v>
      </c>
    </row>
    <row r="15" spans="2:43">
      <c r="B15" s="85" t="s">
        <v>42</v>
      </c>
      <c r="C15" s="83">
        <f>'(hide) Bilan'!C12</f>
        <v>0</v>
      </c>
      <c r="D15" s="181" t="s">
        <v>102</v>
      </c>
      <c r="E15" s="68"/>
      <c r="G15" s="192" t="str">
        <f t="shared" si="9"/>
        <v>Transport sous-traité</v>
      </c>
      <c r="H15" s="83">
        <f t="shared" si="6"/>
        <v>0</v>
      </c>
      <c r="I15" s="83">
        <f t="shared" si="10"/>
        <v>0</v>
      </c>
      <c r="J15" s="83">
        <f t="shared" si="7"/>
        <v>0</v>
      </c>
      <c r="K15" s="83">
        <f t="shared" si="7"/>
        <v>0</v>
      </c>
      <c r="L15" s="83">
        <f t="shared" si="7"/>
        <v>0</v>
      </c>
      <c r="M15" s="83">
        <f t="shared" si="7"/>
        <v>0</v>
      </c>
      <c r="N15" s="83">
        <f t="shared" si="7"/>
        <v>0</v>
      </c>
      <c r="O15" s="83">
        <f t="shared" si="7"/>
        <v>0</v>
      </c>
      <c r="P15" s="187">
        <f t="shared" si="7"/>
        <v>0</v>
      </c>
      <c r="AD15">
        <f t="shared" si="2"/>
        <v>0</v>
      </c>
      <c r="AE15">
        <f t="shared" si="3"/>
        <v>0</v>
      </c>
      <c r="AF15">
        <f t="shared" si="4"/>
        <v>0</v>
      </c>
      <c r="AH15">
        <f t="shared" ref="AH15:AP15" si="20">IF(AG15&gt;0,AG15,IF(AH$1=$AE15,$AF15,0))</f>
        <v>0</v>
      </c>
      <c r="AI15">
        <f t="shared" si="20"/>
        <v>0</v>
      </c>
      <c r="AJ15">
        <f t="shared" si="20"/>
        <v>0</v>
      </c>
      <c r="AK15">
        <f t="shared" si="20"/>
        <v>0</v>
      </c>
      <c r="AL15">
        <f t="shared" si="20"/>
        <v>0</v>
      </c>
      <c r="AM15">
        <f t="shared" si="20"/>
        <v>0</v>
      </c>
      <c r="AN15">
        <f t="shared" si="20"/>
        <v>0</v>
      </c>
      <c r="AO15">
        <f t="shared" si="20"/>
        <v>0</v>
      </c>
      <c r="AP15">
        <f t="shared" si="20"/>
        <v>0</v>
      </c>
    </row>
    <row r="16" spans="2:43">
      <c r="B16" s="82" t="s">
        <v>24</v>
      </c>
      <c r="C16" s="83">
        <f>'(hide) Bilan'!C13</f>
        <v>12.621499999999999</v>
      </c>
      <c r="D16" s="181" t="s">
        <v>184</v>
      </c>
      <c r="E16" s="68"/>
      <c r="G16" s="190" t="str">
        <f t="shared" si="9"/>
        <v>Déchets</v>
      </c>
      <c r="H16" s="83">
        <f t="shared" si="6"/>
        <v>12.621499999999999</v>
      </c>
      <c r="I16" s="83">
        <f t="shared" si="10"/>
        <v>12.621499999999999</v>
      </c>
      <c r="J16" s="83">
        <f t="shared" si="7"/>
        <v>12.621499999999999</v>
      </c>
      <c r="K16" s="83">
        <f t="shared" si="7"/>
        <v>12.621499999999999</v>
      </c>
      <c r="L16" s="83">
        <f t="shared" si="7"/>
        <v>12.621499999999999</v>
      </c>
      <c r="M16" s="83">
        <f t="shared" si="7"/>
        <v>12.621499999999999</v>
      </c>
      <c r="N16" s="83">
        <f t="shared" si="7"/>
        <v>12.621499999999999</v>
      </c>
      <c r="O16" s="83">
        <f t="shared" si="7"/>
        <v>12.621499999999999</v>
      </c>
      <c r="P16" s="187">
        <f t="shared" si="7"/>
        <v>12.621499999999999</v>
      </c>
      <c r="AD16">
        <f t="shared" si="2"/>
        <v>0</v>
      </c>
      <c r="AE16">
        <f t="shared" si="3"/>
        <v>0</v>
      </c>
      <c r="AF16">
        <f t="shared" si="4"/>
        <v>0</v>
      </c>
      <c r="AH16">
        <f t="shared" ref="AH16:AP16" si="21">IF(AG16&gt;0,AG16,IF(AH$1=$AE16,$AF16,0))</f>
        <v>0</v>
      </c>
      <c r="AI16">
        <f t="shared" si="21"/>
        <v>0</v>
      </c>
      <c r="AJ16">
        <f t="shared" si="21"/>
        <v>0</v>
      </c>
      <c r="AK16">
        <f t="shared" si="21"/>
        <v>0</v>
      </c>
      <c r="AL16">
        <f t="shared" si="21"/>
        <v>0</v>
      </c>
      <c r="AM16">
        <f t="shared" si="21"/>
        <v>0</v>
      </c>
      <c r="AN16">
        <f t="shared" si="21"/>
        <v>0</v>
      </c>
      <c r="AO16">
        <f t="shared" si="21"/>
        <v>0</v>
      </c>
      <c r="AP16">
        <f t="shared" si="21"/>
        <v>0</v>
      </c>
    </row>
    <row r="17" spans="2:43">
      <c r="B17" s="82" t="s">
        <v>25</v>
      </c>
      <c r="C17" s="83">
        <f>'(hide) Bilan'!C14</f>
        <v>48</v>
      </c>
      <c r="D17" s="181" t="s">
        <v>103</v>
      </c>
      <c r="E17" s="68"/>
      <c r="G17" s="190" t="str">
        <f t="shared" si="9"/>
        <v>Papier</v>
      </c>
      <c r="H17" s="83">
        <f t="shared" si="6"/>
        <v>48</v>
      </c>
      <c r="I17" s="83">
        <f t="shared" si="10"/>
        <v>48</v>
      </c>
      <c r="J17" s="83">
        <f t="shared" si="7"/>
        <v>48</v>
      </c>
      <c r="K17" s="83">
        <f t="shared" si="7"/>
        <v>48</v>
      </c>
      <c r="L17" s="83">
        <f t="shared" si="7"/>
        <v>48</v>
      </c>
      <c r="M17" s="83">
        <f t="shared" si="7"/>
        <v>48</v>
      </c>
      <c r="N17" s="83">
        <f t="shared" si="7"/>
        <v>48</v>
      </c>
      <c r="O17" s="83">
        <f t="shared" si="7"/>
        <v>48</v>
      </c>
      <c r="P17" s="187">
        <f t="shared" si="7"/>
        <v>48</v>
      </c>
      <c r="AD17">
        <f t="shared" si="2"/>
        <v>0</v>
      </c>
      <c r="AE17">
        <f t="shared" si="3"/>
        <v>0</v>
      </c>
      <c r="AF17">
        <f t="shared" si="4"/>
        <v>0</v>
      </c>
      <c r="AH17">
        <f t="shared" ref="AH17:AP17" si="22">IF(AG17&gt;0,AG17,IF(AH$1=$AE17,$AF17,0))</f>
        <v>0</v>
      </c>
      <c r="AI17">
        <f t="shared" si="22"/>
        <v>0</v>
      </c>
      <c r="AJ17">
        <f t="shared" si="22"/>
        <v>0</v>
      </c>
      <c r="AK17">
        <f t="shared" si="22"/>
        <v>0</v>
      </c>
      <c r="AL17">
        <f t="shared" si="22"/>
        <v>0</v>
      </c>
      <c r="AM17">
        <f t="shared" si="22"/>
        <v>0</v>
      </c>
      <c r="AN17">
        <f t="shared" si="22"/>
        <v>0</v>
      </c>
      <c r="AO17">
        <f t="shared" si="22"/>
        <v>0</v>
      </c>
      <c r="AP17">
        <f t="shared" si="22"/>
        <v>0</v>
      </c>
    </row>
    <row r="18" spans="2:43">
      <c r="B18" s="82" t="s">
        <v>26</v>
      </c>
      <c r="C18" s="83">
        <f>'(hide) Bilan'!C15</f>
        <v>2.15</v>
      </c>
      <c r="D18" s="181" t="s">
        <v>103</v>
      </c>
      <c r="E18" s="68"/>
      <c r="G18" s="190" t="str">
        <f t="shared" si="9"/>
        <v>Eau</v>
      </c>
      <c r="H18" s="83">
        <f t="shared" si="6"/>
        <v>2.15</v>
      </c>
      <c r="I18" s="83">
        <f t="shared" si="10"/>
        <v>2.15</v>
      </c>
      <c r="J18" s="83">
        <f t="shared" si="7"/>
        <v>2.15</v>
      </c>
      <c r="K18" s="83">
        <f t="shared" si="7"/>
        <v>2.15</v>
      </c>
      <c r="L18" s="83">
        <f t="shared" si="7"/>
        <v>2.15</v>
      </c>
      <c r="M18" s="83">
        <f t="shared" si="7"/>
        <v>2.15</v>
      </c>
      <c r="N18" s="83">
        <f t="shared" si="7"/>
        <v>2.15</v>
      </c>
      <c r="O18" s="83">
        <f t="shared" si="7"/>
        <v>2.15</v>
      </c>
      <c r="P18" s="187">
        <f t="shared" si="7"/>
        <v>2.15</v>
      </c>
      <c r="AD18">
        <f t="shared" si="2"/>
        <v>0</v>
      </c>
      <c r="AE18">
        <f t="shared" si="3"/>
        <v>0</v>
      </c>
      <c r="AF18">
        <f t="shared" si="4"/>
        <v>0</v>
      </c>
      <c r="AH18">
        <f t="shared" ref="AH18:AP18" si="23">IF(AG18&gt;0,AG18,IF(AH$1=$AE18,$AF18,0))</f>
        <v>0</v>
      </c>
      <c r="AI18">
        <f t="shared" si="23"/>
        <v>0</v>
      </c>
      <c r="AJ18">
        <f t="shared" si="23"/>
        <v>0</v>
      </c>
      <c r="AK18">
        <f t="shared" si="23"/>
        <v>0</v>
      </c>
      <c r="AL18">
        <f t="shared" si="23"/>
        <v>0</v>
      </c>
      <c r="AM18">
        <f t="shared" si="23"/>
        <v>0</v>
      </c>
      <c r="AN18">
        <f t="shared" si="23"/>
        <v>0</v>
      </c>
      <c r="AO18">
        <f t="shared" si="23"/>
        <v>0</v>
      </c>
      <c r="AP18">
        <f t="shared" si="23"/>
        <v>0</v>
      </c>
    </row>
    <row r="19" spans="2:43">
      <c r="B19" s="82" t="s">
        <v>43</v>
      </c>
      <c r="C19" s="83">
        <f>'(hide) Bilan'!C16</f>
        <v>0</v>
      </c>
      <c r="D19" s="181" t="s">
        <v>103</v>
      </c>
      <c r="E19" s="68"/>
      <c r="G19" s="190" t="str">
        <f t="shared" si="9"/>
        <v>Repas</v>
      </c>
      <c r="H19" s="83">
        <f t="shared" si="6"/>
        <v>0</v>
      </c>
      <c r="I19" s="83">
        <f t="shared" si="10"/>
        <v>0</v>
      </c>
      <c r="J19" s="83">
        <f t="shared" si="7"/>
        <v>0</v>
      </c>
      <c r="K19" s="83">
        <f t="shared" si="7"/>
        <v>0</v>
      </c>
      <c r="L19" s="83">
        <f t="shared" si="7"/>
        <v>0</v>
      </c>
      <c r="M19" s="83">
        <f t="shared" si="7"/>
        <v>0</v>
      </c>
      <c r="N19" s="83">
        <f t="shared" si="7"/>
        <v>0</v>
      </c>
      <c r="O19" s="83">
        <f t="shared" si="7"/>
        <v>0</v>
      </c>
      <c r="P19" s="187">
        <f t="shared" si="7"/>
        <v>0</v>
      </c>
    </row>
    <row r="20" spans="2:43">
      <c r="B20" s="82" t="s">
        <v>49</v>
      </c>
      <c r="C20" s="83">
        <f>'(hide) Bilan'!C17</f>
        <v>0</v>
      </c>
      <c r="D20" s="181" t="s">
        <v>103</v>
      </c>
      <c r="E20" s="68"/>
      <c r="G20" s="190" t="str">
        <f t="shared" si="9"/>
        <v xml:space="preserve">Service </v>
      </c>
      <c r="H20" s="83">
        <f t="shared" si="6"/>
        <v>0</v>
      </c>
      <c r="I20" s="83">
        <f t="shared" si="10"/>
        <v>0</v>
      </c>
      <c r="J20" s="83">
        <f t="shared" si="7"/>
        <v>0</v>
      </c>
      <c r="K20" s="83">
        <f t="shared" si="7"/>
        <v>0</v>
      </c>
      <c r="L20" s="83">
        <f t="shared" si="7"/>
        <v>0</v>
      </c>
      <c r="M20" s="83">
        <f t="shared" si="7"/>
        <v>0</v>
      </c>
      <c r="N20" s="83">
        <f t="shared" si="7"/>
        <v>0</v>
      </c>
      <c r="O20" s="83">
        <f t="shared" si="7"/>
        <v>0</v>
      </c>
      <c r="P20" s="187">
        <f t="shared" si="7"/>
        <v>0</v>
      </c>
    </row>
    <row r="21" spans="2:43">
      <c r="B21" s="82" t="s">
        <v>52</v>
      </c>
      <c r="C21" s="83">
        <f>'(hide) Bilan'!C18</f>
        <v>0</v>
      </c>
      <c r="D21" s="181" t="s">
        <v>188</v>
      </c>
      <c r="E21" s="68"/>
      <c r="G21" s="190" t="str">
        <f t="shared" si="9"/>
        <v>Incinération des déchets</v>
      </c>
      <c r="H21" s="83">
        <f t="shared" si="6"/>
        <v>0</v>
      </c>
      <c r="I21" s="83">
        <f t="shared" si="10"/>
        <v>0</v>
      </c>
      <c r="J21" s="83">
        <f t="shared" ref="J21:J23" si="24">MAX(0,$H21-AJ49)</f>
        <v>0</v>
      </c>
      <c r="K21" s="83">
        <f t="shared" ref="K21:K23" si="25">MAX(0,$H21-AK49)</f>
        <v>0</v>
      </c>
      <c r="L21" s="83">
        <f t="shared" ref="L21:L23" si="26">MAX(0,$H21-AL49)</f>
        <v>0</v>
      </c>
      <c r="M21" s="83">
        <f t="shared" ref="M21:M23" si="27">MAX(0,$H21-AM49)</f>
        <v>0</v>
      </c>
      <c r="N21" s="83">
        <f t="shared" ref="N21:N23" si="28">MAX(0,$H21-AN49)</f>
        <v>0</v>
      </c>
      <c r="O21" s="83">
        <f t="shared" ref="O21:O23" si="29">MAX(0,$H21-AO49)</f>
        <v>0</v>
      </c>
      <c r="P21" s="187">
        <f t="shared" ref="P21:P23" si="30">MAX(0,$H21-AP49)</f>
        <v>0</v>
      </c>
    </row>
    <row r="22" spans="2:43">
      <c r="B22" s="82" t="s">
        <v>191</v>
      </c>
      <c r="C22" s="196"/>
      <c r="D22" s="181" t="s">
        <v>103</v>
      </c>
      <c r="E22" s="68"/>
      <c r="G22" s="190" t="str">
        <f t="shared" si="9"/>
        <v>Consommables</v>
      </c>
      <c r="H22" s="83">
        <f t="shared" si="6"/>
        <v>0</v>
      </c>
      <c r="I22" s="83">
        <f t="shared" si="10"/>
        <v>0</v>
      </c>
      <c r="J22" s="83">
        <f t="shared" si="24"/>
        <v>0</v>
      </c>
      <c r="K22" s="83">
        <f t="shared" si="25"/>
        <v>0</v>
      </c>
      <c r="L22" s="83">
        <f t="shared" si="26"/>
        <v>0</v>
      </c>
      <c r="M22" s="83">
        <f t="shared" si="27"/>
        <v>0</v>
      </c>
      <c r="N22" s="83">
        <f t="shared" si="28"/>
        <v>0</v>
      </c>
      <c r="O22" s="83">
        <f t="shared" si="29"/>
        <v>0</v>
      </c>
      <c r="P22" s="187">
        <f t="shared" si="30"/>
        <v>0</v>
      </c>
    </row>
    <row r="23" spans="2:43">
      <c r="B23" s="82" t="s">
        <v>193</v>
      </c>
      <c r="C23" s="196"/>
      <c r="D23" s="181" t="s">
        <v>192</v>
      </c>
      <c r="E23" s="68"/>
      <c r="G23" s="190" t="str">
        <f t="shared" si="9"/>
        <v>Transport par les clients</v>
      </c>
      <c r="H23" s="83">
        <f t="shared" ref="H23" si="31">C23</f>
        <v>0</v>
      </c>
      <c r="I23" s="83">
        <f t="shared" si="10"/>
        <v>0</v>
      </c>
      <c r="J23" s="83">
        <f t="shared" si="24"/>
        <v>0</v>
      </c>
      <c r="K23" s="83">
        <f t="shared" si="25"/>
        <v>0</v>
      </c>
      <c r="L23" s="83">
        <f t="shared" si="26"/>
        <v>0</v>
      </c>
      <c r="M23" s="83">
        <f t="shared" si="27"/>
        <v>0</v>
      </c>
      <c r="N23" s="83">
        <f t="shared" si="28"/>
        <v>0</v>
      </c>
      <c r="O23" s="83">
        <f t="shared" si="29"/>
        <v>0</v>
      </c>
      <c r="P23" s="197">
        <f t="shared" si="30"/>
        <v>0</v>
      </c>
    </row>
    <row r="24" spans="2:43" ht="15" thickBot="1">
      <c r="B24" s="178" t="s">
        <v>28</v>
      </c>
      <c r="C24" s="179">
        <f>SUM(C5:C22)</f>
        <v>681.55161208004233</v>
      </c>
      <c r="D24" s="180"/>
      <c r="E24" s="177"/>
      <c r="G24" s="193" t="s">
        <v>28</v>
      </c>
      <c r="H24" s="194">
        <f>SUM(H5:H23)</f>
        <v>681.55161208004233</v>
      </c>
      <c r="I24" s="194">
        <f t="shared" ref="I24:P24" si="32">SUM(I5:I23)</f>
        <v>681.55161208004233</v>
      </c>
      <c r="J24" s="194">
        <f t="shared" si="32"/>
        <v>677.55161208004233</v>
      </c>
      <c r="K24" s="194">
        <f t="shared" si="32"/>
        <v>677.55161208004233</v>
      </c>
      <c r="L24" s="194">
        <f t="shared" si="32"/>
        <v>677.55161208004233</v>
      </c>
      <c r="M24" s="194">
        <f t="shared" si="32"/>
        <v>677.55161208004233</v>
      </c>
      <c r="N24" s="194">
        <f t="shared" si="32"/>
        <v>677.55161208004233</v>
      </c>
      <c r="O24" s="194">
        <f t="shared" si="32"/>
        <v>677.55161208004233</v>
      </c>
      <c r="P24" s="195">
        <f t="shared" si="32"/>
        <v>677.55161208004233</v>
      </c>
    </row>
    <row r="25" spans="2:43" ht="15" thickBot="1">
      <c r="G25" s="86"/>
      <c r="H25" s="83"/>
      <c r="I25" s="83"/>
      <c r="J25" s="83"/>
      <c r="K25" s="83"/>
    </row>
    <row r="26" spans="2:43" ht="21.6" thickBot="1">
      <c r="B26" s="243" t="s">
        <v>169</v>
      </c>
      <c r="C26" s="244"/>
      <c r="D26" s="244"/>
      <c r="E26" s="244"/>
      <c r="F26" s="245"/>
      <c r="G26" s="86"/>
      <c r="H26" s="83"/>
      <c r="I26" s="83"/>
      <c r="J26" s="83"/>
      <c r="K26" s="83"/>
      <c r="L26" s="83"/>
      <c r="M26" s="83"/>
      <c r="N26" s="83"/>
      <c r="O26" s="83"/>
      <c r="P26" s="83"/>
    </row>
    <row r="27" spans="2:43" s="79" customFormat="1" ht="47.4" thickBot="1">
      <c r="B27" s="161" t="s">
        <v>34</v>
      </c>
      <c r="C27" s="161" t="s">
        <v>31</v>
      </c>
      <c r="D27" s="161" t="s">
        <v>32</v>
      </c>
      <c r="E27" s="161" t="s">
        <v>185</v>
      </c>
      <c r="F27" s="162" t="s">
        <v>33</v>
      </c>
      <c r="AD27"/>
      <c r="AE27"/>
      <c r="AF27"/>
      <c r="AG27"/>
      <c r="AH27"/>
      <c r="AI27"/>
      <c r="AJ27"/>
      <c r="AK27"/>
      <c r="AL27"/>
      <c r="AM27"/>
      <c r="AN27"/>
      <c r="AO27"/>
      <c r="AP27"/>
      <c r="AQ27"/>
    </row>
    <row r="28" spans="2:43">
      <c r="B28" s="163" t="s">
        <v>35</v>
      </c>
      <c r="C28" s="169" t="s">
        <v>22</v>
      </c>
      <c r="D28" s="164">
        <v>2027</v>
      </c>
      <c r="E28" s="164"/>
      <c r="F28" s="165">
        <v>4</v>
      </c>
    </row>
    <row r="29" spans="2:43">
      <c r="B29" s="163" t="s">
        <v>35</v>
      </c>
      <c r="C29" s="169" t="s">
        <v>191</v>
      </c>
      <c r="D29" s="164" t="s">
        <v>194</v>
      </c>
      <c r="E29" s="164"/>
      <c r="F29" s="165">
        <v>3</v>
      </c>
      <c r="R29" s="68"/>
    </row>
    <row r="30" spans="2:43">
      <c r="B30" s="163" t="s">
        <v>35</v>
      </c>
      <c r="C30" s="169"/>
      <c r="D30" s="164">
        <v>2026</v>
      </c>
      <c r="E30" s="164"/>
      <c r="F30" s="165"/>
      <c r="R30" s="68"/>
    </row>
    <row r="31" spans="2:43">
      <c r="B31" s="163" t="s">
        <v>35</v>
      </c>
      <c r="C31" s="169"/>
      <c r="D31" s="164"/>
      <c r="E31" s="164"/>
      <c r="F31" s="165"/>
      <c r="R31" s="68"/>
    </row>
    <row r="32" spans="2:43">
      <c r="B32" s="163" t="s">
        <v>35</v>
      </c>
      <c r="C32" s="169"/>
      <c r="D32" s="164"/>
      <c r="E32" s="164"/>
      <c r="F32" s="165"/>
      <c r="R32" s="68"/>
    </row>
    <row r="33" spans="2:42">
      <c r="B33" s="163" t="s">
        <v>35</v>
      </c>
      <c r="C33" s="169"/>
      <c r="D33" s="164"/>
      <c r="E33" s="164"/>
      <c r="F33" s="165"/>
      <c r="R33" s="68"/>
      <c r="AD33" s="89" t="s">
        <v>21</v>
      </c>
      <c r="AI33">
        <f t="shared" ref="AI33:AP48" si="33">SUMIF($AD$4:$AD$30,$AD33,AI$4:AI$30)</f>
        <v>0</v>
      </c>
      <c r="AJ33">
        <f t="shared" si="33"/>
        <v>0</v>
      </c>
      <c r="AK33">
        <f t="shared" si="33"/>
        <v>0</v>
      </c>
      <c r="AL33">
        <f t="shared" si="33"/>
        <v>0</v>
      </c>
      <c r="AM33">
        <f t="shared" si="33"/>
        <v>0</v>
      </c>
      <c r="AN33">
        <f t="shared" si="33"/>
        <v>0</v>
      </c>
      <c r="AO33">
        <f t="shared" si="33"/>
        <v>0</v>
      </c>
      <c r="AP33">
        <f t="shared" si="33"/>
        <v>0</v>
      </c>
    </row>
    <row r="34" spans="2:42">
      <c r="B34" s="163" t="s">
        <v>35</v>
      </c>
      <c r="C34" s="169"/>
      <c r="D34" s="164"/>
      <c r="E34" s="164"/>
      <c r="F34" s="165"/>
      <c r="R34" s="68"/>
      <c r="AD34" s="89" t="s">
        <v>0</v>
      </c>
      <c r="AI34">
        <f t="shared" si="33"/>
        <v>0</v>
      </c>
      <c r="AJ34">
        <f t="shared" si="33"/>
        <v>0</v>
      </c>
      <c r="AK34">
        <f t="shared" si="33"/>
        <v>0</v>
      </c>
      <c r="AL34">
        <f t="shared" si="33"/>
        <v>0</v>
      </c>
      <c r="AM34">
        <f t="shared" si="33"/>
        <v>0</v>
      </c>
      <c r="AN34">
        <f t="shared" si="33"/>
        <v>0</v>
      </c>
      <c r="AO34">
        <f t="shared" si="33"/>
        <v>0</v>
      </c>
      <c r="AP34">
        <f t="shared" si="33"/>
        <v>0</v>
      </c>
    </row>
    <row r="35" spans="2:42">
      <c r="B35" s="163" t="s">
        <v>35</v>
      </c>
      <c r="C35" s="169"/>
      <c r="D35" s="164"/>
      <c r="E35" s="164"/>
      <c r="F35" s="165"/>
      <c r="R35" s="68"/>
      <c r="AD35" s="89" t="s">
        <v>22</v>
      </c>
      <c r="AI35">
        <f t="shared" si="33"/>
        <v>0</v>
      </c>
      <c r="AJ35">
        <f t="shared" si="33"/>
        <v>4</v>
      </c>
      <c r="AK35">
        <f t="shared" si="33"/>
        <v>4</v>
      </c>
      <c r="AL35">
        <f t="shared" si="33"/>
        <v>4</v>
      </c>
      <c r="AM35">
        <f t="shared" si="33"/>
        <v>4</v>
      </c>
      <c r="AN35">
        <f t="shared" si="33"/>
        <v>4</v>
      </c>
      <c r="AO35">
        <f t="shared" si="33"/>
        <v>4</v>
      </c>
      <c r="AP35">
        <f t="shared" si="33"/>
        <v>4</v>
      </c>
    </row>
    <row r="36" spans="2:42">
      <c r="B36" s="163" t="s">
        <v>35</v>
      </c>
      <c r="C36" s="169"/>
      <c r="D36" s="164"/>
      <c r="E36" s="164"/>
      <c r="F36" s="165"/>
      <c r="R36" s="68"/>
      <c r="AD36" s="89" t="s">
        <v>40</v>
      </c>
      <c r="AI36">
        <f t="shared" si="33"/>
        <v>0</v>
      </c>
      <c r="AJ36">
        <f t="shared" si="33"/>
        <v>0</v>
      </c>
      <c r="AK36">
        <f t="shared" si="33"/>
        <v>0</v>
      </c>
      <c r="AL36">
        <f t="shared" si="33"/>
        <v>0</v>
      </c>
      <c r="AM36">
        <f t="shared" si="33"/>
        <v>0</v>
      </c>
      <c r="AN36">
        <f t="shared" si="33"/>
        <v>0</v>
      </c>
      <c r="AO36">
        <f t="shared" si="33"/>
        <v>0</v>
      </c>
      <c r="AP36">
        <f t="shared" si="33"/>
        <v>0</v>
      </c>
    </row>
    <row r="37" spans="2:42">
      <c r="B37" s="163" t="s">
        <v>35</v>
      </c>
      <c r="C37" s="169"/>
      <c r="D37" s="164"/>
      <c r="E37" s="164"/>
      <c r="F37" s="165"/>
      <c r="R37" s="68"/>
      <c r="AD37" s="90" t="s">
        <v>23</v>
      </c>
      <c r="AI37">
        <f t="shared" si="33"/>
        <v>0</v>
      </c>
      <c r="AJ37">
        <f t="shared" si="33"/>
        <v>0</v>
      </c>
      <c r="AK37">
        <f t="shared" si="33"/>
        <v>0</v>
      </c>
      <c r="AL37">
        <f t="shared" si="33"/>
        <v>0</v>
      </c>
      <c r="AM37">
        <f t="shared" si="33"/>
        <v>0</v>
      </c>
      <c r="AN37">
        <f t="shared" si="33"/>
        <v>0</v>
      </c>
      <c r="AO37">
        <f t="shared" si="33"/>
        <v>0</v>
      </c>
      <c r="AP37">
        <f t="shared" si="33"/>
        <v>0</v>
      </c>
    </row>
    <row r="38" spans="2:42">
      <c r="B38" s="163" t="s">
        <v>35</v>
      </c>
      <c r="C38" s="169"/>
      <c r="D38" s="164"/>
      <c r="E38" s="164"/>
      <c r="F38" s="165"/>
      <c r="AD38" s="90" t="s">
        <v>38</v>
      </c>
      <c r="AI38">
        <f t="shared" si="33"/>
        <v>0</v>
      </c>
      <c r="AJ38">
        <f t="shared" si="33"/>
        <v>0</v>
      </c>
      <c r="AK38">
        <f t="shared" si="33"/>
        <v>0</v>
      </c>
      <c r="AL38">
        <f t="shared" si="33"/>
        <v>0</v>
      </c>
      <c r="AM38">
        <f t="shared" si="33"/>
        <v>0</v>
      </c>
      <c r="AN38">
        <f t="shared" si="33"/>
        <v>0</v>
      </c>
      <c r="AO38">
        <f t="shared" si="33"/>
        <v>0</v>
      </c>
      <c r="AP38">
        <f t="shared" si="33"/>
        <v>0</v>
      </c>
    </row>
    <row r="39" spans="2:42">
      <c r="B39" s="163" t="s">
        <v>35</v>
      </c>
      <c r="C39" s="169"/>
      <c r="D39" s="164"/>
      <c r="E39" s="164"/>
      <c r="F39" s="165"/>
      <c r="AD39" s="90" t="s">
        <v>37</v>
      </c>
      <c r="AI39">
        <f t="shared" si="33"/>
        <v>0</v>
      </c>
      <c r="AJ39">
        <f t="shared" si="33"/>
        <v>0</v>
      </c>
      <c r="AK39">
        <f t="shared" si="33"/>
        <v>0</v>
      </c>
      <c r="AL39">
        <f t="shared" si="33"/>
        <v>0</v>
      </c>
      <c r="AM39">
        <f t="shared" si="33"/>
        <v>0</v>
      </c>
      <c r="AN39">
        <f t="shared" si="33"/>
        <v>0</v>
      </c>
      <c r="AO39">
        <f t="shared" si="33"/>
        <v>0</v>
      </c>
      <c r="AP39">
        <f t="shared" si="33"/>
        <v>0</v>
      </c>
    </row>
    <row r="40" spans="2:42">
      <c r="B40" s="163" t="s">
        <v>35</v>
      </c>
      <c r="C40" s="169"/>
      <c r="D40" s="164"/>
      <c r="E40" s="164"/>
      <c r="F40" s="165"/>
      <c r="AD40" s="90" t="s">
        <v>36</v>
      </c>
      <c r="AI40">
        <f t="shared" si="33"/>
        <v>0</v>
      </c>
      <c r="AJ40">
        <f t="shared" si="33"/>
        <v>0</v>
      </c>
      <c r="AK40">
        <f t="shared" si="33"/>
        <v>0</v>
      </c>
      <c r="AL40">
        <f t="shared" si="33"/>
        <v>0</v>
      </c>
      <c r="AM40">
        <f t="shared" si="33"/>
        <v>0</v>
      </c>
      <c r="AN40">
        <f t="shared" si="33"/>
        <v>0</v>
      </c>
      <c r="AO40">
        <f t="shared" si="33"/>
        <v>0</v>
      </c>
      <c r="AP40">
        <f t="shared" si="33"/>
        <v>0</v>
      </c>
    </row>
    <row r="41" spans="2:42">
      <c r="B41" s="163" t="s">
        <v>35</v>
      </c>
      <c r="C41" s="169"/>
      <c r="D41" s="164"/>
      <c r="E41" s="164"/>
      <c r="F41" s="165"/>
      <c r="AD41" s="89" t="s">
        <v>39</v>
      </c>
      <c r="AI41">
        <f t="shared" si="33"/>
        <v>0</v>
      </c>
      <c r="AJ41">
        <f t="shared" si="33"/>
        <v>0</v>
      </c>
      <c r="AK41">
        <f t="shared" si="33"/>
        <v>0</v>
      </c>
      <c r="AL41">
        <f t="shared" si="33"/>
        <v>0</v>
      </c>
      <c r="AM41">
        <f t="shared" si="33"/>
        <v>0</v>
      </c>
      <c r="AN41">
        <f t="shared" si="33"/>
        <v>0</v>
      </c>
      <c r="AO41">
        <f t="shared" si="33"/>
        <v>0</v>
      </c>
      <c r="AP41">
        <f t="shared" si="33"/>
        <v>0</v>
      </c>
    </row>
    <row r="42" spans="2:42">
      <c r="B42" s="163" t="s">
        <v>35</v>
      </c>
      <c r="C42" s="169"/>
      <c r="D42" s="164"/>
      <c r="E42" s="164"/>
      <c r="F42" s="165"/>
      <c r="AD42" s="90" t="s">
        <v>41</v>
      </c>
      <c r="AI42">
        <f t="shared" si="33"/>
        <v>0</v>
      </c>
      <c r="AJ42">
        <f t="shared" si="33"/>
        <v>0</v>
      </c>
      <c r="AK42">
        <f t="shared" si="33"/>
        <v>0</v>
      </c>
      <c r="AL42">
        <f t="shared" si="33"/>
        <v>0</v>
      </c>
      <c r="AM42">
        <f t="shared" si="33"/>
        <v>0</v>
      </c>
      <c r="AN42">
        <f t="shared" si="33"/>
        <v>0</v>
      </c>
      <c r="AO42">
        <f t="shared" si="33"/>
        <v>0</v>
      </c>
      <c r="AP42">
        <f t="shared" si="33"/>
        <v>0</v>
      </c>
    </row>
    <row r="43" spans="2:42" ht="15" thickBot="1">
      <c r="B43" s="166" t="s">
        <v>35</v>
      </c>
      <c r="C43" s="186"/>
      <c r="D43" s="167"/>
      <c r="E43" s="167"/>
      <c r="F43" s="168"/>
      <c r="AD43" s="90" t="s">
        <v>42</v>
      </c>
      <c r="AI43">
        <f t="shared" si="33"/>
        <v>0</v>
      </c>
      <c r="AJ43">
        <f t="shared" si="33"/>
        <v>0</v>
      </c>
      <c r="AK43">
        <f t="shared" si="33"/>
        <v>0</v>
      </c>
      <c r="AL43">
        <f t="shared" si="33"/>
        <v>0</v>
      </c>
      <c r="AM43">
        <f t="shared" si="33"/>
        <v>0</v>
      </c>
      <c r="AN43">
        <f t="shared" si="33"/>
        <v>0</v>
      </c>
      <c r="AO43">
        <f t="shared" si="33"/>
        <v>0</v>
      </c>
      <c r="AP43">
        <f t="shared" si="33"/>
        <v>0</v>
      </c>
    </row>
    <row r="44" spans="2:42">
      <c r="AD44" s="89" t="s">
        <v>24</v>
      </c>
      <c r="AI44">
        <f t="shared" si="33"/>
        <v>0</v>
      </c>
      <c r="AJ44">
        <f t="shared" si="33"/>
        <v>0</v>
      </c>
      <c r="AK44">
        <f t="shared" si="33"/>
        <v>0</v>
      </c>
      <c r="AL44">
        <f t="shared" si="33"/>
        <v>0</v>
      </c>
      <c r="AM44">
        <f t="shared" si="33"/>
        <v>0</v>
      </c>
      <c r="AN44">
        <f t="shared" si="33"/>
        <v>0</v>
      </c>
      <c r="AO44">
        <f t="shared" si="33"/>
        <v>0</v>
      </c>
      <c r="AP44">
        <f t="shared" si="33"/>
        <v>0</v>
      </c>
    </row>
    <row r="45" spans="2:42">
      <c r="AD45" s="89" t="s">
        <v>25</v>
      </c>
      <c r="AI45">
        <f t="shared" si="33"/>
        <v>0</v>
      </c>
      <c r="AJ45">
        <f t="shared" si="33"/>
        <v>0</v>
      </c>
      <c r="AK45">
        <f t="shared" si="33"/>
        <v>0</v>
      </c>
      <c r="AL45">
        <f t="shared" si="33"/>
        <v>0</v>
      </c>
      <c r="AM45">
        <f t="shared" si="33"/>
        <v>0</v>
      </c>
      <c r="AN45">
        <f t="shared" si="33"/>
        <v>0</v>
      </c>
      <c r="AO45">
        <f t="shared" si="33"/>
        <v>0</v>
      </c>
      <c r="AP45">
        <f t="shared" si="33"/>
        <v>0</v>
      </c>
    </row>
    <row r="46" spans="2:42">
      <c r="AD46" s="89" t="s">
        <v>26</v>
      </c>
      <c r="AI46">
        <f t="shared" si="33"/>
        <v>0</v>
      </c>
      <c r="AJ46">
        <f t="shared" si="33"/>
        <v>0</v>
      </c>
      <c r="AK46">
        <f t="shared" si="33"/>
        <v>0</v>
      </c>
      <c r="AL46">
        <f t="shared" si="33"/>
        <v>0</v>
      </c>
      <c r="AM46">
        <f t="shared" si="33"/>
        <v>0</v>
      </c>
      <c r="AN46">
        <f t="shared" si="33"/>
        <v>0</v>
      </c>
      <c r="AO46">
        <f t="shared" si="33"/>
        <v>0</v>
      </c>
      <c r="AP46">
        <f t="shared" si="33"/>
        <v>0</v>
      </c>
    </row>
    <row r="47" spans="2:42">
      <c r="AD47" s="89" t="s">
        <v>43</v>
      </c>
      <c r="AI47">
        <f t="shared" si="33"/>
        <v>0</v>
      </c>
      <c r="AJ47">
        <f t="shared" si="33"/>
        <v>0</v>
      </c>
      <c r="AK47">
        <f t="shared" si="33"/>
        <v>0</v>
      </c>
      <c r="AL47">
        <f t="shared" si="33"/>
        <v>0</v>
      </c>
      <c r="AM47">
        <f t="shared" si="33"/>
        <v>0</v>
      </c>
      <c r="AN47">
        <f t="shared" si="33"/>
        <v>0</v>
      </c>
      <c r="AO47">
        <f t="shared" si="33"/>
        <v>0</v>
      </c>
      <c r="AP47">
        <f t="shared" si="33"/>
        <v>0</v>
      </c>
    </row>
    <row r="48" spans="2:42">
      <c r="AD48" s="89" t="s">
        <v>49</v>
      </c>
      <c r="AI48">
        <f t="shared" si="33"/>
        <v>0</v>
      </c>
      <c r="AJ48">
        <f t="shared" si="33"/>
        <v>0</v>
      </c>
      <c r="AK48">
        <f t="shared" si="33"/>
        <v>0</v>
      </c>
      <c r="AL48">
        <f t="shared" si="33"/>
        <v>0</v>
      </c>
      <c r="AM48">
        <f t="shared" si="33"/>
        <v>0</v>
      </c>
      <c r="AN48">
        <f t="shared" si="33"/>
        <v>0</v>
      </c>
      <c r="AO48">
        <f t="shared" si="33"/>
        <v>0</v>
      </c>
      <c r="AP48">
        <f t="shared" si="33"/>
        <v>0</v>
      </c>
    </row>
    <row r="49" spans="30:42">
      <c r="AD49" s="89" t="s">
        <v>52</v>
      </c>
      <c r="AI49">
        <f t="shared" ref="AI49:AP50" si="34">SUMIF($AD$4:$AD$30,$AD49,AI$4:AI$30)</f>
        <v>0</v>
      </c>
      <c r="AJ49">
        <f>SUMIF($AD$4:$AD$30,$AD49,AJ$4:AJ$30)</f>
        <v>0</v>
      </c>
      <c r="AK49">
        <f t="shared" si="34"/>
        <v>0</v>
      </c>
      <c r="AL49">
        <f t="shared" si="34"/>
        <v>0</v>
      </c>
      <c r="AM49">
        <f t="shared" si="34"/>
        <v>0</v>
      </c>
      <c r="AN49">
        <f t="shared" si="34"/>
        <v>0</v>
      </c>
      <c r="AO49">
        <f t="shared" si="34"/>
        <v>0</v>
      </c>
      <c r="AP49">
        <f t="shared" si="34"/>
        <v>0</v>
      </c>
    </row>
    <row r="50" spans="30:42">
      <c r="AD50" s="89" t="s">
        <v>190</v>
      </c>
      <c r="AI50">
        <f t="shared" si="34"/>
        <v>0</v>
      </c>
      <c r="AJ50">
        <f>SUMIF($AD$4:$AD$30,$AD50,AJ$4:AJ$30)</f>
        <v>0</v>
      </c>
      <c r="AK50">
        <f t="shared" si="34"/>
        <v>0</v>
      </c>
      <c r="AL50">
        <f t="shared" si="34"/>
        <v>0</v>
      </c>
      <c r="AM50">
        <f t="shared" si="34"/>
        <v>0</v>
      </c>
      <c r="AN50">
        <f>SUMIF($AD$4:$AD$30,$AD50,AN$4:AN$30)</f>
        <v>0</v>
      </c>
      <c r="AO50">
        <f>SUMIF($AD$4:$AD$30,$AD50,AO$4:AO$30)</f>
        <v>0</v>
      </c>
      <c r="AP50">
        <f t="shared" si="34"/>
        <v>0</v>
      </c>
    </row>
  </sheetData>
  <sheetProtection algorithmName="SHA-512" hashValue="WFP7RZ7bt4NKDfhD6ezO5gKJ9loG/nQ9T8PyzGu+HhqH7iveHFvBFlg93nxl/2XzXcA5CEve6QRNaxAIZEyOdg==" saltValue="8/bP4kcIIMqjVaXBRsMYOQ==" spinCount="100000" sheet="1" objects="1" scenarios="1"/>
  <mergeCells count="4">
    <mergeCell ref="B1:P1"/>
    <mergeCell ref="B26:F26"/>
    <mergeCell ref="G3:P3"/>
    <mergeCell ref="B3:D3"/>
  </mergeCells>
  <phoneticPr fontId="6" type="noConversion"/>
  <dataValidations count="3">
    <dataValidation type="list" allowBlank="1" showInputMessage="1" showErrorMessage="1" sqref="AD4:AG30" xr:uid="{E93D4309-DD98-1242-BECC-C631D599F6B4}">
      <formula1>$B$5:$B$13</formula1>
    </dataValidation>
    <dataValidation type="list" allowBlank="1" showInputMessage="1" showErrorMessage="1" sqref="C28 C30:C43" xr:uid="{C73BA0E3-D9D4-4400-ACF3-1985623E0808}">
      <formula1>$B$5:$B$22</formula1>
    </dataValidation>
    <dataValidation type="list" allowBlank="1" showInputMessage="1" showErrorMessage="1" sqref="C29" xr:uid="{7DB7F87C-19E0-4A19-9062-1DCC18B03C1B}">
      <formula1>$B$5:$B$23</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E1A4-797E-E74C-AF26-6AA9CAC1523F}">
  <dimension ref="A1:J86"/>
  <sheetViews>
    <sheetView zoomScale="166" workbookViewId="0">
      <selection activeCell="D47" sqref="D47"/>
    </sheetView>
  </sheetViews>
  <sheetFormatPr defaultColWidth="11.5546875" defaultRowHeight="14.4"/>
  <cols>
    <col min="1" max="1" width="32.44140625" bestFit="1" customWidth="1"/>
    <col min="2" max="2" width="16.77734375" bestFit="1" customWidth="1"/>
    <col min="3" max="3" width="12.44140625" bestFit="1" customWidth="1"/>
    <col min="4" max="4" width="16.77734375" bestFit="1" customWidth="1"/>
    <col min="5" max="5" width="22" bestFit="1" customWidth="1"/>
    <col min="6" max="6" width="9" customWidth="1"/>
    <col min="7" max="7" width="13.6640625" bestFit="1" customWidth="1"/>
  </cols>
  <sheetData>
    <row r="1" spans="1:8">
      <c r="A1" s="249" t="s">
        <v>125</v>
      </c>
      <c r="B1" s="249"/>
      <c r="C1" s="249"/>
      <c r="D1" s="249"/>
      <c r="E1" s="249"/>
      <c r="F1" s="249"/>
      <c r="G1" s="249"/>
      <c r="H1" s="249"/>
    </row>
    <row r="2" spans="1:8">
      <c r="A2" s="101" t="s">
        <v>1</v>
      </c>
      <c r="B2" s="102">
        <v>1950</v>
      </c>
      <c r="C2" s="102">
        <v>1960</v>
      </c>
      <c r="D2" s="102">
        <v>1970</v>
      </c>
      <c r="E2" s="102">
        <v>1980</v>
      </c>
      <c r="F2" s="102">
        <v>1990</v>
      </c>
      <c r="G2" s="102">
        <v>2000</v>
      </c>
      <c r="H2" s="102">
        <v>2010</v>
      </c>
    </row>
    <row r="3" spans="1:8">
      <c r="A3" s="103" t="s">
        <v>118</v>
      </c>
      <c r="B3" s="104">
        <v>800</v>
      </c>
      <c r="C3" s="104">
        <v>900</v>
      </c>
      <c r="D3" s="104">
        <v>1000</v>
      </c>
      <c r="E3" s="104">
        <v>650</v>
      </c>
      <c r="F3" s="104">
        <v>500</v>
      </c>
      <c r="G3" s="104">
        <v>400</v>
      </c>
      <c r="H3" s="104">
        <v>200</v>
      </c>
    </row>
    <row r="4" spans="1:8">
      <c r="A4" s="105" t="s">
        <v>116</v>
      </c>
      <c r="B4" s="106">
        <f>LOOKUP('(1) Formulaire'!E10,B2:H2,B3:H3)</f>
        <v>400</v>
      </c>
    </row>
    <row r="5" spans="1:8">
      <c r="A5" s="107" t="s">
        <v>115</v>
      </c>
      <c r="B5" s="108">
        <f>IF('(1) Formulaire'!E7&gt;0,'(1) Formulaire'!E7, '(1) Formulaire'!#REF!)</f>
        <v>3000</v>
      </c>
    </row>
    <row r="6" spans="1:8">
      <c r="A6" s="107" t="s">
        <v>150</v>
      </c>
      <c r="B6" s="108">
        <f>'(1) Formulaire'!E6*40</f>
        <v>16000</v>
      </c>
    </row>
    <row r="7" spans="1:8">
      <c r="A7" s="101" t="s">
        <v>114</v>
      </c>
      <c r="B7" s="109" t="s">
        <v>4</v>
      </c>
      <c r="C7" s="109" t="s">
        <v>5</v>
      </c>
      <c r="D7" s="110" t="s">
        <v>3</v>
      </c>
      <c r="E7" s="109" t="s">
        <v>7</v>
      </c>
      <c r="F7" s="109" t="s">
        <v>8</v>
      </c>
      <c r="G7" s="109" t="s">
        <v>6</v>
      </c>
    </row>
    <row r="8" spans="1:8">
      <c r="A8" s="103" t="s">
        <v>117</v>
      </c>
      <c r="B8" s="111">
        <f>74.096/1000000</f>
        <v>7.4096000000000003E-5</v>
      </c>
      <c r="C8" s="111">
        <f>55.136/1000000</f>
        <v>5.5136000000000002E-5</v>
      </c>
      <c r="D8" s="111">
        <f>30/1000000</f>
        <v>3.0000000000000001E-5</v>
      </c>
      <c r="E8" s="111">
        <f>135*277778/1000000/1000000</f>
        <v>3.7500030000000006E-5</v>
      </c>
      <c r="F8" s="111">
        <v>0</v>
      </c>
      <c r="G8" s="111">
        <f>135*277778/1000000/1000000/3.8</f>
        <v>9.8684289473684232E-6</v>
      </c>
    </row>
    <row r="9" spans="1:8">
      <c r="A9" s="112" t="s">
        <v>120</v>
      </c>
      <c r="B9" s="113" t="str">
        <f>HLOOKUP('(1) Formulaire'!E12, $B$7:$G$8, 1, FALSE)</f>
        <v>Gaz</v>
      </c>
      <c r="C9" s="114"/>
      <c r="D9" s="114"/>
      <c r="E9" s="114"/>
      <c r="F9" s="114"/>
      <c r="G9" s="114"/>
    </row>
    <row r="10" spans="1:8">
      <c r="A10" s="107" t="s">
        <v>121</v>
      </c>
      <c r="B10" s="115">
        <f>HLOOKUP('(1) Formulaire'!E12, $B$7:$G$8, 2, FALSE)</f>
        <v>5.5136000000000002E-5</v>
      </c>
    </row>
    <row r="12" spans="1:8">
      <c r="A12" s="259" t="s">
        <v>126</v>
      </c>
      <c r="B12" s="259"/>
      <c r="C12" s="116"/>
      <c r="D12" s="116"/>
      <c r="E12" s="116"/>
      <c r="F12" s="116"/>
      <c r="G12" s="116"/>
      <c r="H12" s="116"/>
    </row>
    <row r="13" spans="1:8">
      <c r="A13" s="107" t="s">
        <v>120</v>
      </c>
      <c r="B13" s="117" t="str">
        <f>HLOOKUP('(1) Formulaire'!E15, $B$7:$G$8, 1, FALSE)</f>
        <v>Chauffage à distance</v>
      </c>
    </row>
    <row r="14" spans="1:8">
      <c r="A14" s="107" t="s">
        <v>122</v>
      </c>
      <c r="B14" s="118">
        <f>HLOOKUP('(1) Formulaire'!E15, $B$7:$G$8, 2, FALSE)</f>
        <v>3.0000000000000001E-5</v>
      </c>
    </row>
    <row r="15" spans="1:8">
      <c r="A15" s="107" t="s">
        <v>123</v>
      </c>
      <c r="B15" s="117">
        <f>B14*1000000</f>
        <v>30</v>
      </c>
    </row>
    <row r="16" spans="1:8">
      <c r="A16" s="107" t="s">
        <v>124</v>
      </c>
      <c r="B16" s="117">
        <f>B15/277.777</f>
        <v>0.10800030240084672</v>
      </c>
    </row>
    <row r="17" spans="1:10">
      <c r="B17" s="1"/>
      <c r="C17" s="1"/>
      <c r="D17" s="1"/>
      <c r="E17" s="1"/>
      <c r="G17" s="1"/>
    </row>
    <row r="18" spans="1:10" ht="15" thickBot="1">
      <c r="A18" s="249" t="s">
        <v>127</v>
      </c>
      <c r="B18" s="249"/>
      <c r="C18" s="249"/>
      <c r="D18" s="116"/>
      <c r="E18" s="116"/>
      <c r="F18" s="116"/>
      <c r="G18" s="116"/>
      <c r="H18" s="116"/>
      <c r="J18" s="119"/>
    </row>
    <row r="19" spans="1:10">
      <c r="A19" s="120" t="s">
        <v>128</v>
      </c>
      <c r="B19" s="121">
        <v>120</v>
      </c>
      <c r="C19" s="122" t="s">
        <v>14</v>
      </c>
      <c r="D19" s="123"/>
      <c r="E19" s="123"/>
      <c r="F19" s="123"/>
      <c r="G19" s="123"/>
      <c r="J19" s="119"/>
    </row>
    <row r="20" spans="1:10">
      <c r="A20" s="124" t="s">
        <v>66</v>
      </c>
      <c r="B20" s="125">
        <f>IF('(1) Formulaire'!E19&gt;0,'(1) Formulaire'!E19,'(3) Behind the scenes'!B19*B5)</f>
        <v>360000</v>
      </c>
      <c r="C20" s="88"/>
    </row>
    <row r="21" spans="1:10">
      <c r="A21" s="124" t="s">
        <v>132</v>
      </c>
      <c r="B21" s="126" t="str">
        <f>IF('(1) Formulaire'!E19&gt;0, "Valeur non-extrapolée", "Valeur extrapolée")</f>
        <v>Valeur extrapolée</v>
      </c>
      <c r="C21" s="88"/>
    </row>
    <row r="22" spans="1:10">
      <c r="A22" s="87" t="s">
        <v>18</v>
      </c>
      <c r="B22">
        <v>135</v>
      </c>
      <c r="C22" s="88"/>
    </row>
    <row r="23" spans="1:10">
      <c r="A23" s="87" t="s">
        <v>129</v>
      </c>
      <c r="B23">
        <v>5</v>
      </c>
      <c r="C23" s="88"/>
    </row>
    <row r="24" spans="1:10" ht="15" thickBot="1">
      <c r="A24" s="127" t="s">
        <v>130</v>
      </c>
      <c r="B24" s="128">
        <f>'(1) Formulaire'!E20*'(3) Behind the scenes'!B23+'(3) Behind the scenes'!B22*(1-'(1) Formulaire'!E20)</f>
        <v>135</v>
      </c>
      <c r="C24" s="92"/>
    </row>
    <row r="26" spans="1:10" ht="15" thickBot="1">
      <c r="A26" s="249" t="s">
        <v>135</v>
      </c>
      <c r="B26" s="249"/>
      <c r="C26" s="249"/>
      <c r="D26" s="116"/>
      <c r="E26" s="116"/>
      <c r="F26" s="116"/>
      <c r="G26" s="116"/>
      <c r="H26" s="116"/>
    </row>
    <row r="27" spans="1:10">
      <c r="A27" s="260" t="s">
        <v>9</v>
      </c>
      <c r="B27" s="56" t="s">
        <v>10</v>
      </c>
      <c r="C27" s="129">
        <v>1.1499999999999999</v>
      </c>
    </row>
    <row r="28" spans="1:10">
      <c r="A28" s="257"/>
      <c r="B28" s="130" t="s">
        <v>17</v>
      </c>
      <c r="C28" s="131">
        <v>0.95</v>
      </c>
    </row>
    <row r="29" spans="1:10">
      <c r="A29" s="132" t="s">
        <v>137</v>
      </c>
      <c r="B29" s="133">
        <f>'(1) Formulaire'!E24</f>
        <v>0</v>
      </c>
      <c r="C29" s="134">
        <f>IF(B29=B28,C28,C27)</f>
        <v>1.1499999999999999</v>
      </c>
    </row>
    <row r="30" spans="1:10">
      <c r="A30" s="256" t="s">
        <v>11</v>
      </c>
      <c r="B30" s="135" t="s">
        <v>13</v>
      </c>
      <c r="C30" s="136">
        <v>0.91</v>
      </c>
    </row>
    <row r="31" spans="1:10">
      <c r="A31" s="257"/>
      <c r="B31" s="130" t="s">
        <v>12</v>
      </c>
      <c r="C31" s="131">
        <v>1.04</v>
      </c>
    </row>
    <row r="32" spans="1:10">
      <c r="A32" s="132" t="s">
        <v>137</v>
      </c>
      <c r="B32" s="133">
        <f>'(1) Formulaire'!E25</f>
        <v>0</v>
      </c>
      <c r="C32" s="134">
        <f>IF(B32=B31,C31,C30)</f>
        <v>0.91</v>
      </c>
    </row>
    <row r="33" spans="1:4">
      <c r="A33" s="258" t="s">
        <v>15</v>
      </c>
      <c r="B33" s="137">
        <v>1</v>
      </c>
      <c r="C33" s="136">
        <v>1.1200000000000001</v>
      </c>
    </row>
    <row r="34" spans="1:4">
      <c r="A34" s="202"/>
      <c r="B34" s="139">
        <v>0.5</v>
      </c>
      <c r="C34" s="88">
        <v>0.9</v>
      </c>
    </row>
    <row r="35" spans="1:4">
      <c r="A35" s="202"/>
      <c r="B35" s="139">
        <v>0</v>
      </c>
      <c r="C35" s="88">
        <v>0.72</v>
      </c>
    </row>
    <row r="36" spans="1:4">
      <c r="A36" s="132" t="s">
        <v>137</v>
      </c>
      <c r="B36" s="140">
        <f>'(1) Formulaire'!E27</f>
        <v>0</v>
      </c>
      <c r="C36" s="134">
        <f>IF(B36&gt;=100%, C33, IF(B36&gt;=50%, C34, C35))</f>
        <v>0.72</v>
      </c>
      <c r="D36" s="141" t="s">
        <v>142</v>
      </c>
    </row>
    <row r="37" spans="1:4">
      <c r="A37" s="256" t="s">
        <v>16</v>
      </c>
      <c r="B37" s="142" t="s">
        <v>10</v>
      </c>
      <c r="C37" s="136">
        <v>0.97</v>
      </c>
    </row>
    <row r="38" spans="1:4">
      <c r="A38" s="257"/>
      <c r="B38" s="130" t="s">
        <v>17</v>
      </c>
      <c r="C38" s="131">
        <v>1.1200000000000001</v>
      </c>
    </row>
    <row r="39" spans="1:4">
      <c r="A39" s="132" t="s">
        <v>137</v>
      </c>
      <c r="B39" s="133">
        <f>'(1) Formulaire'!E28</f>
        <v>0</v>
      </c>
      <c r="C39" s="134">
        <f>IF(B39=B37,C37,C38)</f>
        <v>1.1200000000000001</v>
      </c>
    </row>
    <row r="40" spans="1:4">
      <c r="A40" s="256" t="s">
        <v>136</v>
      </c>
      <c r="B40" s="142" t="s">
        <v>10</v>
      </c>
      <c r="C40" s="136">
        <v>0.56999999999999995</v>
      </c>
    </row>
    <row r="41" spans="1:4">
      <c r="A41" s="257"/>
      <c r="B41" s="130" t="s">
        <v>17</v>
      </c>
      <c r="C41" s="131">
        <v>1.17</v>
      </c>
    </row>
    <row r="42" spans="1:4">
      <c r="A42" s="143" t="s">
        <v>137</v>
      </c>
      <c r="B42" s="144" t="str">
        <f>IF('(1) Formulaire'!E29&gt;0%,'(3) Behind the scenes'!B40,'(3) Behind the scenes'!B41)</f>
        <v>non</v>
      </c>
      <c r="C42" s="145">
        <f>'(1) Formulaire'!E29</f>
        <v>0</v>
      </c>
    </row>
    <row r="43" spans="1:4" ht="15" thickBot="1">
      <c r="A43" s="127" t="s">
        <v>141</v>
      </c>
      <c r="B43" s="57"/>
      <c r="C43" s="146">
        <f>C40*C42+C41*(1-C42)</f>
        <v>1.17</v>
      </c>
    </row>
    <row r="45" spans="1:4" ht="15" thickBot="1">
      <c r="A45" s="249" t="s">
        <v>143</v>
      </c>
      <c r="B45" s="249"/>
      <c r="C45" s="249"/>
      <c r="D45" s="249"/>
    </row>
    <row r="46" spans="1:4">
      <c r="A46" s="250" t="str">
        <f>'(1) Formulaire'!C44</f>
        <v>Distance parcourue par année. Véhicules diesel</v>
      </c>
      <c r="B46" s="251"/>
      <c r="C46" s="56">
        <v>140</v>
      </c>
      <c r="D46" s="129">
        <f>C46*'(1) Formulaire'!E44/1000000</f>
        <v>0</v>
      </c>
    </row>
    <row r="47" spans="1:4">
      <c r="A47" s="252" t="str">
        <f>'(1) Formulaire'!C45</f>
        <v>Distance parcourue par année. Véhicules essence</v>
      </c>
      <c r="B47" s="253"/>
      <c r="C47">
        <v>143</v>
      </c>
      <c r="D47" s="88">
        <f>C47*'(1) Formulaire'!E45/1000000</f>
        <v>0</v>
      </c>
    </row>
    <row r="48" spans="1:4">
      <c r="A48" s="252" t="str">
        <f>'(1) Formulaire'!C46</f>
        <v>Distance parcourue par année. Véhicules Hybride</v>
      </c>
      <c r="B48" s="253"/>
      <c r="C48">
        <v>82</v>
      </c>
      <c r="D48" s="88">
        <f>C48*'(1) Formulaire'!E46/1000000</f>
        <v>0</v>
      </c>
    </row>
    <row r="49" spans="1:4">
      <c r="A49" s="252" t="str">
        <f>'(1) Formulaire'!C47</f>
        <v>Distance parcourue par année. Véhicules électrique</v>
      </c>
      <c r="B49" s="253"/>
      <c r="C49">
        <v>19</v>
      </c>
      <c r="D49" s="88">
        <f>C49*'(1) Formulaire'!E47/1000000</f>
        <v>0</v>
      </c>
    </row>
    <row r="50" spans="1:4">
      <c r="A50" s="252" t="str">
        <f>'(1) Formulaire'!C49</f>
        <v>Trains</v>
      </c>
      <c r="B50" s="253"/>
      <c r="C50">
        <v>5.0999999999999996</v>
      </c>
      <c r="D50" s="88">
        <f>C50*'(1) Formulaire'!E49/1000000</f>
        <v>0</v>
      </c>
    </row>
    <row r="51" spans="1:4" ht="15" thickBot="1">
      <c r="A51" s="254" t="str">
        <f>'(1) Formulaire'!C50</f>
        <v>Avion</v>
      </c>
      <c r="B51" s="255"/>
      <c r="C51" s="57">
        <v>514</v>
      </c>
      <c r="D51" s="92">
        <f>C51*'(1) Formulaire'!E50/1000000</f>
        <v>0</v>
      </c>
    </row>
    <row r="53" spans="1:4" ht="15" thickBot="1">
      <c r="A53" s="249" t="s">
        <v>144</v>
      </c>
      <c r="B53" s="249"/>
      <c r="C53" s="249"/>
      <c r="D53" s="116"/>
    </row>
    <row r="54" spans="1:4">
      <c r="A54" s="120" t="s">
        <v>27</v>
      </c>
      <c r="B54" s="56">
        <f>'(1) Formulaire'!E53*'(1) Formulaire'!E54</f>
        <v>0</v>
      </c>
      <c r="C54" s="129" t="s">
        <v>29</v>
      </c>
    </row>
    <row r="55" spans="1:4">
      <c r="A55" s="87" t="s">
        <v>30</v>
      </c>
      <c r="B55">
        <v>74.89</v>
      </c>
      <c r="C55" s="88">
        <v>885582.71342543396</v>
      </c>
    </row>
    <row r="56" spans="1:4" ht="15" thickBot="1">
      <c r="A56" s="127" t="s">
        <v>145</v>
      </c>
      <c r="B56" s="128">
        <f>B55/C55</f>
        <v>8.4565787999999996E-5</v>
      </c>
      <c r="C56" s="92"/>
    </row>
    <row r="58" spans="1:4" ht="15" thickBot="1">
      <c r="A58" s="249" t="s">
        <v>146</v>
      </c>
      <c r="B58" s="249"/>
      <c r="C58" s="249"/>
      <c r="D58" s="116"/>
    </row>
    <row r="59" spans="1:4">
      <c r="A59" s="147" t="s">
        <v>44</v>
      </c>
      <c r="B59" s="148">
        <v>3.5999999999999999E-3</v>
      </c>
      <c r="C59" s="129">
        <f>B59*'(1) Formulaire'!E58</f>
        <v>0</v>
      </c>
    </row>
    <row r="60" spans="1:4">
      <c r="A60" s="149" t="s">
        <v>45</v>
      </c>
      <c r="B60" s="150">
        <v>1.6999999999999999E-3</v>
      </c>
      <c r="C60" s="88">
        <f>B60*'(1) Formulaire'!E59</f>
        <v>0</v>
      </c>
    </row>
    <row r="61" spans="1:4">
      <c r="A61" s="149" t="s">
        <v>46</v>
      </c>
      <c r="B61" s="150">
        <v>3.0000000000000001E-3</v>
      </c>
      <c r="C61" s="151">
        <f>B61*'(1) Formulaire'!E60</f>
        <v>0</v>
      </c>
    </row>
    <row r="62" spans="1:4" ht="15" thickBot="1">
      <c r="A62" s="152" t="s">
        <v>47</v>
      </c>
      <c r="B62" s="153">
        <v>1E-3</v>
      </c>
      <c r="C62" s="92">
        <f>B62*'(1) Formulaire'!E61</f>
        <v>0</v>
      </c>
    </row>
    <row r="65" spans="1:5" ht="15" thickBot="1">
      <c r="A65" s="249" t="s">
        <v>147</v>
      </c>
      <c r="B65" s="249"/>
      <c r="C65" s="249"/>
      <c r="D65" s="116"/>
    </row>
    <row r="66" spans="1:5" ht="15" thickBot="1">
      <c r="A66" s="154" t="s">
        <v>48</v>
      </c>
      <c r="B66" s="155">
        <v>5.3999999999999998E-5</v>
      </c>
      <c r="C66" s="156">
        <f>B66*'(1) Formulaire'!E68</f>
        <v>0</v>
      </c>
    </row>
    <row r="68" spans="1:5" ht="15" thickBot="1">
      <c r="A68" s="249" t="s">
        <v>148</v>
      </c>
      <c r="B68" s="249"/>
      <c r="C68" s="249"/>
      <c r="D68" s="116"/>
    </row>
    <row r="69" spans="1:5" ht="15" thickBot="1">
      <c r="A69" s="154" t="s">
        <v>51</v>
      </c>
      <c r="B69" s="155">
        <v>1.6119999999999999E-4</v>
      </c>
      <c r="C69" s="156">
        <f>B69*'(1) Formulaire'!E64</f>
        <v>0</v>
      </c>
    </row>
    <row r="71" spans="1:5" ht="15" thickBot="1">
      <c r="A71" s="249" t="s">
        <v>149</v>
      </c>
      <c r="B71" s="249"/>
      <c r="C71" s="249"/>
      <c r="D71" s="116"/>
    </row>
    <row r="72" spans="1:5" ht="15" thickBot="1">
      <c r="A72" s="157" t="s">
        <v>108</v>
      </c>
      <c r="B72" s="155">
        <v>0.5</v>
      </c>
      <c r="C72" s="156">
        <f>B72*'(1) Formulaire'!E65</f>
        <v>0</v>
      </c>
    </row>
    <row r="75" spans="1:5" ht="15" thickBot="1">
      <c r="A75" s="249" t="s">
        <v>151</v>
      </c>
      <c r="B75" s="249"/>
      <c r="C75" s="249"/>
      <c r="D75" s="249"/>
      <c r="E75" s="249"/>
    </row>
    <row r="76" spans="1:5">
      <c r="A76" s="120" t="s">
        <v>93</v>
      </c>
      <c r="B76" s="56">
        <v>0</v>
      </c>
      <c r="C76" s="56"/>
      <c r="D76" s="56"/>
      <c r="E76" s="129"/>
    </row>
    <row r="77" spans="1:5">
      <c r="A77" s="87" t="s">
        <v>92</v>
      </c>
      <c r="B77">
        <v>0</v>
      </c>
      <c r="E77" s="88"/>
    </row>
    <row r="78" spans="1:5">
      <c r="A78" s="87" t="s">
        <v>152</v>
      </c>
      <c r="B78">
        <v>1.3999999999999999E-6</v>
      </c>
      <c r="E78" s="88"/>
    </row>
    <row r="79" spans="1:5">
      <c r="A79" s="87" t="s">
        <v>91</v>
      </c>
      <c r="B79">
        <f>0.000338/2.37</f>
        <v>1.4261603375527424E-4</v>
      </c>
      <c r="C79" t="s">
        <v>153</v>
      </c>
      <c r="D79" t="s">
        <v>154</v>
      </c>
      <c r="E79" s="88" t="s">
        <v>156</v>
      </c>
    </row>
    <row r="80" spans="1:5">
      <c r="A80" s="87" t="s">
        <v>94</v>
      </c>
      <c r="B80" s="119">
        <f>(C80+D80)/2</f>
        <v>7.6150000000000008E-5</v>
      </c>
      <c r="C80" s="158">
        <v>3.68E-5</v>
      </c>
      <c r="D80">
        <v>1.155E-4</v>
      </c>
      <c r="E80" s="88"/>
    </row>
    <row r="81" spans="1:5">
      <c r="A81" s="87" t="s">
        <v>90</v>
      </c>
      <c r="B81" s="119">
        <f>(C81+D81)/2</f>
        <v>1.0499999999999999E-6</v>
      </c>
      <c r="C81" s="158">
        <v>1.3999999999999999E-6</v>
      </c>
      <c r="D81" s="158">
        <v>6.9999999999999997E-7</v>
      </c>
      <c r="E81" s="88"/>
    </row>
    <row r="82" spans="1:5">
      <c r="A82" s="87" t="s">
        <v>86</v>
      </c>
      <c r="B82" s="123">
        <f>0.000321/1.35</f>
        <v>2.3777777777777775E-4</v>
      </c>
      <c r="C82" t="s">
        <v>155</v>
      </c>
      <c r="D82">
        <f>(1.19+0.95+1.91)/3</f>
        <v>1.3499999999999999</v>
      </c>
      <c r="E82" s="88" t="s">
        <v>157</v>
      </c>
    </row>
    <row r="83" spans="1:5">
      <c r="A83" s="87" t="s">
        <v>87</v>
      </c>
      <c r="B83" s="123">
        <f>0.000338/D83</f>
        <v>2.2463447053610984E-4</v>
      </c>
      <c r="C83" t="s">
        <v>153</v>
      </c>
      <c r="D83">
        <f>(2.12+1.33+1.064)/3</f>
        <v>1.5046666666666668</v>
      </c>
      <c r="E83" s="88" t="s">
        <v>53</v>
      </c>
    </row>
    <row r="84" spans="1:5">
      <c r="A84" s="87" t="s">
        <v>88</v>
      </c>
      <c r="B84">
        <v>1.3300000000000001E-4</v>
      </c>
      <c r="E84" s="88"/>
    </row>
    <row r="85" spans="1:5" ht="15" thickBot="1">
      <c r="A85" s="91" t="s">
        <v>89</v>
      </c>
      <c r="B85" s="57">
        <v>1.9199999999999999E-5</v>
      </c>
      <c r="C85" s="57"/>
      <c r="D85" s="57"/>
      <c r="E85" s="92"/>
    </row>
    <row r="86" spans="1:5">
      <c r="A86" s="116" t="s">
        <v>171</v>
      </c>
      <c r="B86" s="159">
        <f>SUMPRODUCT(B76:B85,'(1) Formulaire'!E32:E41)</f>
        <v>0</v>
      </c>
    </row>
  </sheetData>
  <sheetProtection algorithmName="SHA-512" hashValue="ZTR2/EENDPYj6/Hc3ZMNF1d3VCJuf3EONYBDpESaqf6dgwC5RkxrEuS6zdadzakcxCur2AgxFAh0rCPGWYEUPg==" saltValue="FZJOM7VO0VYPMMPqqrPA9A==" spinCount="100000" sheet="1" objects="1" scenarios="1"/>
  <mergeCells count="22">
    <mergeCell ref="A26:C26"/>
    <mergeCell ref="A1:H1"/>
    <mergeCell ref="A18:C18"/>
    <mergeCell ref="A12:B12"/>
    <mergeCell ref="A27:A28"/>
    <mergeCell ref="A30:A31"/>
    <mergeCell ref="A33:A35"/>
    <mergeCell ref="A37:A38"/>
    <mergeCell ref="A40:A41"/>
    <mergeCell ref="A45:D45"/>
    <mergeCell ref="A53:C53"/>
    <mergeCell ref="A46:B46"/>
    <mergeCell ref="A47:B47"/>
    <mergeCell ref="A48:B48"/>
    <mergeCell ref="A49:B49"/>
    <mergeCell ref="A50:B50"/>
    <mergeCell ref="A51:B51"/>
    <mergeCell ref="A71:C71"/>
    <mergeCell ref="A68:C68"/>
    <mergeCell ref="A65:C65"/>
    <mergeCell ref="A58:C58"/>
    <mergeCell ref="A75:E7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82EB-E732-7440-A7E4-C858ED3C4067}">
  <dimension ref="A1:D20"/>
  <sheetViews>
    <sheetView topLeftCell="A9" zoomScale="150" workbookViewId="0">
      <selection activeCell="C19" sqref="C19"/>
    </sheetView>
  </sheetViews>
  <sheetFormatPr defaultColWidth="11.5546875" defaultRowHeight="14.4"/>
  <cols>
    <col min="1" max="1" width="39" customWidth="1"/>
    <col min="3" max="3" width="20.109375" customWidth="1"/>
    <col min="4" max="4" width="37.77734375" bestFit="1" customWidth="1"/>
  </cols>
  <sheetData>
    <row r="1" spans="1:4" ht="18">
      <c r="A1" s="93" t="s">
        <v>19</v>
      </c>
      <c r="B1" s="94" t="s">
        <v>50</v>
      </c>
      <c r="C1" s="93" t="s">
        <v>20</v>
      </c>
      <c r="D1" s="93" t="s">
        <v>119</v>
      </c>
    </row>
    <row r="2" spans="1:4">
      <c r="A2" s="89" t="s">
        <v>21</v>
      </c>
      <c r="B2" s="86">
        <v>1</v>
      </c>
      <c r="C2" s="95">
        <f>IF('(1) Formulaire'!E13&gt;0,'(1) Formulaire'!E13*'(3) Behind the scenes'!B10*1000000/277778,'(3) Behind the scenes'!B4*'(3) Behind the scenes'!B5*'(3) Behind the scenes'!B10)</f>
        <v>66.163200000000003</v>
      </c>
      <c r="D2">
        <f>IF(C8&gt;0,C8*Y11*1000000/277778,Y7*Y6*Y11)</f>
        <v>0</v>
      </c>
    </row>
    <row r="3" spans="1:4">
      <c r="A3" s="89" t="s">
        <v>0</v>
      </c>
      <c r="B3" s="86">
        <v>1</v>
      </c>
      <c r="C3" s="95">
        <f>IF('(1) Formulaire'!E16&gt;0,'(1) Formulaire'!E16*'(3) Behind the scenes'!B16,0)</f>
        <v>5.4000151200423359</v>
      </c>
    </row>
    <row r="4" spans="1:4">
      <c r="A4" s="89" t="s">
        <v>22</v>
      </c>
      <c r="B4" s="86">
        <v>2</v>
      </c>
      <c r="C4" s="95">
        <f>'(3) Behind the scenes'!B20*'(3) Behind the scenes'!B24/1000000</f>
        <v>48.6</v>
      </c>
    </row>
    <row r="5" spans="1:4">
      <c r="A5" s="96" t="s">
        <v>40</v>
      </c>
      <c r="B5" s="86"/>
      <c r="C5" s="95"/>
    </row>
    <row r="6" spans="1:4">
      <c r="A6" s="97" t="s">
        <v>23</v>
      </c>
      <c r="B6" s="86">
        <v>3</v>
      </c>
      <c r="C6" s="95">
        <f>IF(SUM('(1) Formulaire'!E32:E41)&gt;0,'(3) Behind the scenes'!B86,1010*'(1) Formulaire'!E5/1000*'(3) Behind the scenes'!C29*'(3) Behind the scenes'!C32*'(3) Behind the scenes'!C36*'(3) Behind the scenes'!C39*'(3) Behind the scenes'!C43)</f>
        <v>498.61689696000008</v>
      </c>
    </row>
    <row r="7" spans="1:4">
      <c r="A7" s="97" t="s">
        <v>38</v>
      </c>
      <c r="B7" s="86">
        <v>3</v>
      </c>
      <c r="C7" s="95">
        <f>SUM('(3) Behind the scenes'!D46:D49)*(1-'(1) Formulaire'!E48)</f>
        <v>0</v>
      </c>
    </row>
    <row r="8" spans="1:4">
      <c r="A8" s="97" t="s">
        <v>37</v>
      </c>
      <c r="B8" s="86">
        <v>1</v>
      </c>
      <c r="C8" s="95">
        <f>SUM('(3) Behind the scenes'!D46:D49)*'(1) Formulaire'!E48</f>
        <v>0</v>
      </c>
    </row>
    <row r="9" spans="1:4">
      <c r="A9" s="97" t="s">
        <v>36</v>
      </c>
      <c r="B9" s="86">
        <v>3</v>
      </c>
      <c r="C9" s="95">
        <f>SUM('(3) Behind the scenes'!D50:D51)</f>
        <v>0</v>
      </c>
    </row>
    <row r="10" spans="1:4">
      <c r="A10" s="96" t="s">
        <v>39</v>
      </c>
      <c r="B10" s="86"/>
      <c r="C10" s="95"/>
    </row>
    <row r="11" spans="1:4">
      <c r="A11" s="97" t="s">
        <v>41</v>
      </c>
      <c r="B11" s="86">
        <v>1</v>
      </c>
      <c r="C11" s="95">
        <f>'(1) Formulaire'!E53*'(1) Formulaire'!E54*'(1) Formulaire'!E55*'(3) Behind the scenes'!B56</f>
        <v>0</v>
      </c>
    </row>
    <row r="12" spans="1:4">
      <c r="A12" s="97" t="s">
        <v>42</v>
      </c>
      <c r="B12" s="86">
        <v>3</v>
      </c>
      <c r="C12" s="95">
        <f>'(1) Formulaire'!E53*'(1) Formulaire'!E54*(1-'(1) Formulaire'!E55)*'(3) Behind the scenes'!B56</f>
        <v>0</v>
      </c>
    </row>
    <row r="13" spans="1:4">
      <c r="A13" s="89" t="s">
        <v>24</v>
      </c>
      <c r="B13" s="86">
        <v>3</v>
      </c>
      <c r="C13" s="95">
        <f>'(1) Formulaire'!E5*50*0.00050486+'(3) Behind the scenes'!C69</f>
        <v>12.621499999999999</v>
      </c>
    </row>
    <row r="14" spans="1:4">
      <c r="A14" s="97" t="s">
        <v>25</v>
      </c>
      <c r="B14" s="86">
        <v>3</v>
      </c>
      <c r="C14" s="95">
        <f>'(1) Formulaire'!E6*100*1.2/1000</f>
        <v>48</v>
      </c>
    </row>
    <row r="15" spans="1:4">
      <c r="A15" s="97" t="s">
        <v>110</v>
      </c>
      <c r="B15" s="86">
        <v>3</v>
      </c>
      <c r="C15" s="95">
        <f>'(1) Formulaire'!E5*10*0.00043</f>
        <v>2.15</v>
      </c>
    </row>
    <row r="16" spans="1:4">
      <c r="A16" s="89" t="s">
        <v>43</v>
      </c>
      <c r="B16" s="86">
        <v>3</v>
      </c>
      <c r="C16" s="95">
        <f>SUM('(3) Behind the scenes'!C59:C62)</f>
        <v>0</v>
      </c>
    </row>
    <row r="17" spans="1:4">
      <c r="A17" s="89" t="s">
        <v>49</v>
      </c>
      <c r="B17" s="86">
        <v>3</v>
      </c>
      <c r="C17" s="95">
        <f>'(3) Behind the scenes'!C66</f>
        <v>0</v>
      </c>
    </row>
    <row r="18" spans="1:4">
      <c r="A18" s="89" t="s">
        <v>52</v>
      </c>
      <c r="B18" s="86">
        <v>1</v>
      </c>
      <c r="C18" s="95">
        <f>'(3) Behind the scenes'!C72</f>
        <v>0</v>
      </c>
    </row>
    <row r="19" spans="1:4">
      <c r="A19" s="98" t="s">
        <v>28</v>
      </c>
      <c r="B19" s="99"/>
      <c r="C19" s="100">
        <f>SUM(C2:C18)</f>
        <v>681.55161208004233</v>
      </c>
      <c r="D19" t="s">
        <v>158</v>
      </c>
    </row>
    <row r="20" spans="1:4">
      <c r="C20" s="1"/>
    </row>
  </sheetData>
  <sheetProtection algorithmName="SHA-512" hashValue="Wa2+rV3yPN7U6fjOMdg8l7jISQ32hiVEOMsJG+17H9qJX1Loxpreg+P91QQ1N6J5cxpxhslqJ/Vgyk4mb8RpcQ==" saltValue="UKkq+uWnne8PjtYvCGgeC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321C851DCBAF40AC432C4A1CFD4FA2" ma:contentTypeVersion="16" ma:contentTypeDescription="Crée un document." ma:contentTypeScope="" ma:versionID="debe86ba8d80572e2abb2d0b43a19d55">
  <xsd:schema xmlns:xsd="http://www.w3.org/2001/XMLSchema" xmlns:xs="http://www.w3.org/2001/XMLSchema" xmlns:p="http://schemas.microsoft.com/office/2006/metadata/properties" xmlns:ns3="d8340bc2-881c-4fa6-aae3-2641f738ff4a" xmlns:ns4="5fa25e47-77b9-4e72-910f-fcc331fecff3" targetNamespace="http://schemas.microsoft.com/office/2006/metadata/properties" ma:root="true" ma:fieldsID="0b1ace10358dbeb4f142f2df24d2af58" ns3:_="" ns4:_="">
    <xsd:import namespace="d8340bc2-881c-4fa6-aae3-2641f738ff4a"/>
    <xsd:import namespace="5fa25e47-77b9-4e72-910f-fcc331fecf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40bc2-881c-4fa6-aae3-2641f738ff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a25e47-77b9-4e72-910f-fcc331fecff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340bc2-881c-4fa6-aae3-2641f738ff4a" xsi:nil="true"/>
  </documentManagement>
</p:properties>
</file>

<file path=customXml/itemProps1.xml><?xml version="1.0" encoding="utf-8"?>
<ds:datastoreItem xmlns:ds="http://schemas.openxmlformats.org/officeDocument/2006/customXml" ds:itemID="{A8651E6A-AF9A-44DD-B2BB-6A4CD829E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340bc2-881c-4fa6-aae3-2641f738ff4a"/>
    <ds:schemaRef ds:uri="5fa25e47-77b9-4e72-910f-fcc331fec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027427-C05D-433A-9A40-2CA6A285ED28}">
  <ds:schemaRefs>
    <ds:schemaRef ds:uri="http://schemas.microsoft.com/sharepoint/v3/contenttype/forms"/>
  </ds:schemaRefs>
</ds:datastoreItem>
</file>

<file path=customXml/itemProps3.xml><?xml version="1.0" encoding="utf-8"?>
<ds:datastoreItem xmlns:ds="http://schemas.openxmlformats.org/officeDocument/2006/customXml" ds:itemID="{2B7FE8D9-AB6B-4043-B27C-EF9234F31E1C}">
  <ds:schemaRefs>
    <ds:schemaRef ds:uri="d8340bc2-881c-4fa6-aae3-2641f738ff4a"/>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5fa25e47-77b9-4e72-910f-fcc331fecff3"/>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Formulaire</vt:lpstr>
      <vt:lpstr>(2) Bilan et Mesures</vt:lpstr>
      <vt:lpstr>(3) Behind the scenes</vt:lpstr>
      <vt:lpstr>(hide) Bilan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Werner Halter</dc:creator>
  <cp:keywords/>
  <dc:description/>
  <cp:lastModifiedBy>Werner Halter</cp:lastModifiedBy>
  <cp:revision/>
  <dcterms:created xsi:type="dcterms:W3CDTF">2015-12-21T16:47:36Z</dcterms:created>
  <dcterms:modified xsi:type="dcterms:W3CDTF">2025-10-02T09:53:18Z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-855268127</vt:i4>
  </property>
  <property fmtid="{D5CDD505-2E9C-101B-9397-08002B2CF9AE}" pid="4" name="_EmailSubject">
    <vt:lpwstr>Outil pour étudiants</vt:lpwstr>
  </property>
  <property fmtid="{D5CDD505-2E9C-101B-9397-08002B2CF9AE}" pid="5" name="_AuthorEmail">
    <vt:lpwstr>madeleine.rodier@hevs.ch</vt:lpwstr>
  </property>
  <property fmtid="{D5CDD505-2E9C-101B-9397-08002B2CF9AE}" pid="6" name="_AuthorEmailDisplayName">
    <vt:lpwstr>Rodier Madeleine</vt:lpwstr>
  </property>
  <property fmtid="{D5CDD505-2E9C-101B-9397-08002B2CF9AE}" pid="7" name="_ReviewingToolsShownOnce">
    <vt:lpwstr/>
  </property>
  <property fmtid="{D5CDD505-2E9C-101B-9397-08002B2CF9AE}" pid="8" name="ContentTypeId">
    <vt:lpwstr>0x01010002321C851DCBAF40AC432C4A1CFD4FA2</vt:lpwstr>
  </property>
</Properties>
</file>