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D:\1-HES\Cours\Master\Module 13\Atelier Analyses quantitatives\Comparaison de groupes\"/>
    </mc:Choice>
  </mc:AlternateContent>
  <xr:revisionPtr revIDLastSave="0" documentId="13_ncr:1_{941C63E8-543E-4D53-8E35-3BA27DA0A344}" xr6:coauthVersionLast="47" xr6:coauthVersionMax="47" xr10:uidLastSave="{00000000-0000-0000-0000-000000000000}"/>
  <bookViews>
    <workbookView xWindow="735" yWindow="735" windowWidth="21600" windowHeight="11385" xr2:uid="{D484DA24-48E7-4831-99B8-3436CFBA906B}"/>
  </bookViews>
  <sheets>
    <sheet name="DATA" sheetId="2" r:id="rId1"/>
    <sheet name="Analyses descriptives" sheetId="3" r:id="rId2"/>
    <sheet name="Comparaison des groupes T-Préma" sheetId="1" r:id="rId3"/>
    <sheet name="XLSTAT_20230621_094214_1_HID" sheetId="29" state="hidden" r:id="rId4"/>
    <sheet name="XLSTAT_20230621_090741_1_HID" sheetId="26" state="hidden" r:id="rId5"/>
    <sheet name="XLSTAT_20230621_084541_1_HID" sheetId="24" state="hidden" r:id="rId6"/>
    <sheet name="XLSTAT_20230621_082153_1_HID" sheetId="22" state="hidden" r:id="rId7"/>
    <sheet name="XLSTAT_20230621_072543_1_HID" sheetId="19" state="hidden" r:id="rId8"/>
    <sheet name="XLSTAT_20230621_072101_1_HID" sheetId="17" state="hidden" r:id="rId9"/>
    <sheet name="XLSTAT_20230621_070915_1_HID" sheetId="15" state="hidden" r:id="rId10"/>
    <sheet name="XLSTAT_20230621_052021_1_HID" sheetId="13" state="hidden" r:id="rId11"/>
  </sheets>
  <definedNames>
    <definedName name="xdata1" localSheetId="10" hidden="1">XLSTAT_20230621_052021_1_HID!$C$1:$C$70</definedName>
    <definedName name="xdata1" localSheetId="9" hidden="1">XLSTAT_20230621_070915_1_HID!$C$1:$C$70</definedName>
    <definedName name="xdata1" localSheetId="8" hidden="1">XLSTAT_20230621_072101_1_HID!$C$1:$C$70</definedName>
    <definedName name="xdata1" localSheetId="7" hidden="1">XLSTAT_20230621_072543_1_HID!$C$1:$C$70</definedName>
    <definedName name="xdata1" localSheetId="6" hidden="1">XLSTAT_20230621_082153_1_HID!$C$1:$C$70</definedName>
    <definedName name="xdata1" localSheetId="5" hidden="1">XLSTAT_20230621_084541_1_HID!$C$1:$C$70</definedName>
    <definedName name="xdata1" localSheetId="4" hidden="1">XLSTAT_20230621_090741_1_HID!$C$1:$C$70</definedName>
    <definedName name="xdata1" localSheetId="3" hidden="1">XLSTAT_20230621_094214_1_HID!$C$1:$C$70</definedName>
    <definedName name="xdata2" localSheetId="10" hidden="1">XLSTAT_20230621_052021_1_HID!$G$1:$G$70</definedName>
    <definedName name="xdata2" localSheetId="9" hidden="1">XLSTAT_20230621_070915_1_HID!$G$1:$G$70</definedName>
    <definedName name="xdata2" localSheetId="8" hidden="1">XLSTAT_20230621_072101_1_HID!$G$1:$G$70</definedName>
    <definedName name="xdata2" localSheetId="7" hidden="1">XLSTAT_20230621_072543_1_HID!$G$1:$G$70</definedName>
    <definedName name="xdata2" localSheetId="6" hidden="1">XLSTAT_20230621_082153_1_HID!$G$1:$G$70</definedName>
    <definedName name="xdata2" localSheetId="5" hidden="1">XLSTAT_20230621_084541_1_HID!$G$1:$G$70</definedName>
    <definedName name="xdata2" localSheetId="4" hidden="1">XLSTAT_20230621_090741_1_HID!$G$1:$G$70</definedName>
    <definedName name="xdata2" localSheetId="3" hidden="1">XLSTAT_20230621_094214_1_HID!$G$1:$G$70</definedName>
    <definedName name="xdata3" localSheetId="10" hidden="1">XLSTAT_20230621_052021_1_HID!$K$1:$K$100</definedName>
    <definedName name="xdata3" localSheetId="9" hidden="1">XLSTAT_20230621_070915_1_HID!$K$1:$K$100</definedName>
    <definedName name="xdata3" localSheetId="6" hidden="1">XLSTAT_20230621_082153_1_HID!$K$1:$K$70</definedName>
    <definedName name="xdata4" localSheetId="10" hidden="1">XLSTAT_20230621_052021_1_HID!$O$1:$O$100</definedName>
    <definedName name="xdata4" localSheetId="9" hidden="1">XLSTAT_20230621_070915_1_HID!$O$1:$O$100</definedName>
    <definedName name="xdata4" localSheetId="6" hidden="1">XLSTAT_20230621_082153_1_HID!$O$1:$O$70</definedName>
    <definedName name="xdata5" localSheetId="10" hidden="1">XLSTAT_20230621_052021_1_HID!$S$1:$S$70</definedName>
    <definedName name="xdata5" localSheetId="9" hidden="1">XLSTAT_20230621_070915_1_HID!$S$1:$S$70</definedName>
    <definedName name="xdata6" localSheetId="10" hidden="1">XLSTAT_20230621_052021_1_HID!$W$1:$W$70</definedName>
    <definedName name="xdata6" localSheetId="9" hidden="1">XLSTAT_20230621_070915_1_HID!$W$1:$W$70</definedName>
    <definedName name="ydata1" localSheetId="10" hidden="1">XLSTAT_20230621_052021_1_HID!$D$1:$D$70</definedName>
    <definedName name="ydata1" localSheetId="9" hidden="1">XLSTAT_20230621_070915_1_HID!$D$1:$D$70</definedName>
    <definedName name="ydata1" localSheetId="8" hidden="1">XLSTAT_20230621_072101_1_HID!$D$1:$D$70</definedName>
    <definedName name="ydata1" localSheetId="7" hidden="1">XLSTAT_20230621_072543_1_HID!$D$1:$D$70</definedName>
    <definedName name="ydata1" localSheetId="6" hidden="1">XLSTAT_20230621_082153_1_HID!$D$1:$D$70</definedName>
    <definedName name="ydata1" localSheetId="5" hidden="1">XLSTAT_20230621_084541_1_HID!$D$1:$D$70</definedName>
    <definedName name="ydata1" localSheetId="4" hidden="1">XLSTAT_20230621_090741_1_HID!$D$1:$D$70</definedName>
    <definedName name="ydata1" localSheetId="3" hidden="1">XLSTAT_20230621_094214_1_HID!$D$1:$D$70</definedName>
    <definedName name="ydata2" localSheetId="10" hidden="1">XLSTAT_20230621_052021_1_HID!$H$1:$H$70</definedName>
    <definedName name="ydata2" localSheetId="9" hidden="1">XLSTAT_20230621_070915_1_HID!$H$1:$H$70</definedName>
    <definedName name="ydata2" localSheetId="8" hidden="1">XLSTAT_20230621_072101_1_HID!$H$1:$H$70</definedName>
    <definedName name="ydata2" localSheetId="7" hidden="1">XLSTAT_20230621_072543_1_HID!$H$1:$H$70</definedName>
    <definedName name="ydata2" localSheetId="6" hidden="1">XLSTAT_20230621_082153_1_HID!$H$1:$H$70</definedName>
    <definedName name="ydata2" localSheetId="5" hidden="1">XLSTAT_20230621_084541_1_HID!$H$1:$H$70</definedName>
    <definedName name="ydata2" localSheetId="4" hidden="1">XLSTAT_20230621_090741_1_HID!$H$1:$H$70</definedName>
    <definedName name="ydata2" localSheetId="3" hidden="1">XLSTAT_20230621_094214_1_HID!$H$1:$H$70</definedName>
    <definedName name="ydata3" localSheetId="10" hidden="1">XLSTAT_20230621_052021_1_HID!$L$1:$L$100</definedName>
    <definedName name="ydata3" localSheetId="9" hidden="1">XLSTAT_20230621_070915_1_HID!$L$1:$L$100</definedName>
    <definedName name="ydata3" localSheetId="6" hidden="1">XLSTAT_20230621_082153_1_HID!$L$1:$L$70</definedName>
    <definedName name="ydata4" localSheetId="10" hidden="1">XLSTAT_20230621_052021_1_HID!$P$1:$P$100</definedName>
    <definedName name="ydata4" localSheetId="9" hidden="1">XLSTAT_20230621_070915_1_HID!$P$1:$P$100</definedName>
    <definedName name="ydata4" localSheetId="6" hidden="1">XLSTAT_20230621_082153_1_HID!$P$1:$P$70</definedName>
    <definedName name="ydata5" localSheetId="10" hidden="1">XLSTAT_20230621_052021_1_HID!$T$1:$T$70</definedName>
    <definedName name="ydata5" localSheetId="9" hidden="1">XLSTAT_20230621_070915_1_HID!$T$1:$T$70</definedName>
    <definedName name="ydata6" localSheetId="10" hidden="1">XLSTAT_20230621_052021_1_HID!$X$1:$X$70</definedName>
    <definedName name="ydata6" localSheetId="9" hidden="1">XLSTAT_20230621_070915_1_HID!$X$1:$X$70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1" l="1"/>
  <c r="C12" i="1"/>
  <c r="H84" i="3"/>
  <c r="H60" i="3"/>
  <c r="F33" i="1"/>
  <c r="E33" i="1"/>
  <c r="D33" i="1"/>
  <c r="C33" i="1"/>
  <c r="A33" i="1"/>
  <c r="F32" i="1"/>
  <c r="E32" i="1"/>
  <c r="D32" i="1"/>
  <c r="C32" i="1"/>
  <c r="A32" i="1"/>
  <c r="F31" i="1"/>
  <c r="E31" i="1"/>
  <c r="D31" i="1"/>
  <c r="C31" i="1"/>
  <c r="A31" i="1"/>
  <c r="F30" i="1"/>
  <c r="E30" i="1"/>
  <c r="D30" i="1"/>
  <c r="C30" i="1"/>
  <c r="A30" i="1"/>
  <c r="F29" i="1"/>
  <c r="E29" i="1"/>
  <c r="D29" i="1"/>
  <c r="C29" i="1"/>
  <c r="A29" i="1"/>
  <c r="F28" i="1"/>
  <c r="E28" i="1"/>
  <c r="D28" i="1"/>
  <c r="C28" i="1"/>
  <c r="A28" i="1"/>
  <c r="F27" i="1"/>
  <c r="E27" i="1"/>
  <c r="D27" i="1"/>
  <c r="C27" i="1"/>
  <c r="A27" i="1"/>
  <c r="F26" i="1"/>
  <c r="E26" i="1"/>
  <c r="D26" i="1"/>
  <c r="C26" i="1"/>
  <c r="A26" i="1"/>
  <c r="F25" i="1"/>
  <c r="E25" i="1"/>
  <c r="D25" i="1"/>
  <c r="C25" i="1"/>
  <c r="A25" i="1"/>
  <c r="F24" i="1"/>
  <c r="E24" i="1"/>
  <c r="D24" i="1"/>
  <c r="C24" i="1"/>
  <c r="A24" i="1"/>
  <c r="F22" i="1"/>
  <c r="E22" i="1"/>
  <c r="D22" i="1"/>
  <c r="C22" i="1"/>
  <c r="A22" i="1"/>
  <c r="F21" i="1"/>
  <c r="E21" i="1"/>
  <c r="D21" i="1"/>
  <c r="C21" i="1"/>
  <c r="A21" i="1"/>
  <c r="F20" i="1"/>
  <c r="E20" i="1"/>
  <c r="D20" i="1"/>
  <c r="C20" i="1"/>
  <c r="A20" i="1"/>
  <c r="F19" i="1"/>
  <c r="E19" i="1"/>
  <c r="D19" i="1"/>
  <c r="C19" i="1"/>
  <c r="A19" i="1"/>
  <c r="F18" i="1"/>
  <c r="E18" i="1"/>
  <c r="D18" i="1"/>
  <c r="C18" i="1"/>
  <c r="A18" i="1"/>
  <c r="F17" i="1"/>
  <c r="E17" i="1"/>
  <c r="D17" i="1"/>
  <c r="C17" i="1"/>
  <c r="A17" i="1"/>
  <c r="F16" i="1"/>
  <c r="E16" i="1"/>
  <c r="D16" i="1"/>
  <c r="C16" i="1"/>
  <c r="A16" i="1"/>
  <c r="F15" i="1"/>
  <c r="E15" i="1"/>
  <c r="D15" i="1"/>
  <c r="C15" i="1"/>
  <c r="A15" i="1"/>
  <c r="F14" i="1"/>
  <c r="E14" i="1"/>
  <c r="D14" i="1"/>
  <c r="C14" i="1"/>
  <c r="A14" i="1"/>
  <c r="F13" i="1"/>
  <c r="E13" i="1"/>
  <c r="D13" i="1"/>
  <c r="C13" i="1"/>
  <c r="A13" i="1"/>
  <c r="C19" i="3"/>
  <c r="D19" i="3"/>
  <c r="A20" i="3"/>
  <c r="C20" i="3"/>
  <c r="C118" i="3" s="1"/>
  <c r="D20" i="3"/>
  <c r="E20" i="3"/>
  <c r="F20" i="3"/>
  <c r="A21" i="3"/>
  <c r="C21" i="3"/>
  <c r="D21" i="3"/>
  <c r="E21" i="3"/>
  <c r="F21" i="3"/>
  <c r="A22" i="3"/>
  <c r="C22" i="3"/>
  <c r="D22" i="3"/>
  <c r="E22" i="3"/>
  <c r="F22" i="3"/>
  <c r="A23" i="3"/>
  <c r="C23" i="3"/>
  <c r="D23" i="3"/>
  <c r="E23" i="3"/>
  <c r="F23" i="3"/>
  <c r="A24" i="3"/>
  <c r="C24" i="3"/>
  <c r="D24" i="3"/>
  <c r="E24" i="3"/>
  <c r="F24" i="3"/>
  <c r="A25" i="3"/>
  <c r="C25" i="3"/>
  <c r="D25" i="3"/>
  <c r="E25" i="3"/>
  <c r="F25" i="3"/>
  <c r="A26" i="3"/>
  <c r="C26" i="3"/>
  <c r="D26" i="3"/>
  <c r="E26" i="3"/>
  <c r="F26" i="3"/>
  <c r="A27" i="3"/>
  <c r="C27" i="3"/>
  <c r="D27" i="3"/>
  <c r="E27" i="3"/>
  <c r="F27" i="3"/>
  <c r="A28" i="3"/>
  <c r="C28" i="3"/>
  <c r="D28" i="3"/>
  <c r="E28" i="3"/>
  <c r="F28" i="3"/>
  <c r="A29" i="3"/>
  <c r="C29" i="3"/>
  <c r="D29" i="3"/>
  <c r="E29" i="3"/>
  <c r="F29" i="3"/>
  <c r="A31" i="3"/>
  <c r="C31" i="3"/>
  <c r="D31" i="3"/>
  <c r="E31" i="3"/>
  <c r="F31" i="3"/>
  <c r="A32" i="3"/>
  <c r="C32" i="3"/>
  <c r="D32" i="3"/>
  <c r="E32" i="3"/>
  <c r="F32" i="3"/>
  <c r="A33" i="3"/>
  <c r="C33" i="3"/>
  <c r="D33" i="3"/>
  <c r="E33" i="3"/>
  <c r="F33" i="3"/>
  <c r="A34" i="3"/>
  <c r="C34" i="3"/>
  <c r="D34" i="3"/>
  <c r="E34" i="3"/>
  <c r="F34" i="3"/>
  <c r="C337" i="3" s="1"/>
  <c r="A35" i="3"/>
  <c r="C35" i="3"/>
  <c r="D35" i="3"/>
  <c r="E35" i="3"/>
  <c r="F35" i="3"/>
  <c r="C336" i="3" s="1"/>
  <c r="A36" i="3"/>
  <c r="C36" i="3"/>
  <c r="D36" i="3"/>
  <c r="E36" i="3"/>
  <c r="F36" i="3"/>
  <c r="A37" i="3"/>
  <c r="C37" i="3"/>
  <c r="D37" i="3"/>
  <c r="E37" i="3"/>
  <c r="F37" i="3"/>
  <c r="A38" i="3"/>
  <c r="C38" i="3"/>
  <c r="D38" i="3"/>
  <c r="E38" i="3"/>
  <c r="F38" i="3"/>
  <c r="A39" i="3"/>
  <c r="C39" i="3"/>
  <c r="D39" i="3"/>
  <c r="E39" i="3"/>
  <c r="F39" i="3"/>
  <c r="A40" i="3"/>
  <c r="C40" i="3"/>
  <c r="D40" i="3"/>
  <c r="E40" i="3"/>
  <c r="F40" i="3"/>
  <c r="G12" i="2"/>
  <c r="G5" i="2"/>
  <c r="G13" i="2"/>
  <c r="G14" i="2"/>
  <c r="C335" i="3"/>
  <c r="G24" i="2"/>
  <c r="G23" i="2"/>
  <c r="G20" i="2"/>
  <c r="G9" i="2"/>
  <c r="G6" i="2"/>
  <c r="F24" i="2"/>
  <c r="F23" i="2"/>
  <c r="H1" i="29"/>
  <c r="H2" i="29"/>
  <c r="H3" i="29"/>
  <c r="H4" i="29"/>
  <c r="H5" i="29"/>
  <c r="H6" i="29"/>
  <c r="H7" i="29"/>
  <c r="H8" i="29"/>
  <c r="H9" i="29"/>
  <c r="H10" i="29"/>
  <c r="H11" i="29"/>
  <c r="H12" i="29"/>
  <c r="H13" i="29"/>
  <c r="H14" i="29"/>
  <c r="H15" i="29"/>
  <c r="H16" i="29"/>
  <c r="H17" i="29"/>
  <c r="H18" i="29"/>
  <c r="H19" i="29"/>
  <c r="H20" i="29"/>
  <c r="H21" i="29"/>
  <c r="H22" i="29"/>
  <c r="H23" i="29"/>
  <c r="H24" i="29"/>
  <c r="H25" i="29"/>
  <c r="H26" i="29"/>
  <c r="H27" i="29"/>
  <c r="H28" i="29"/>
  <c r="H29" i="29"/>
  <c r="H30" i="29"/>
  <c r="H31" i="29"/>
  <c r="H32" i="29"/>
  <c r="H33" i="29"/>
  <c r="H34" i="29"/>
  <c r="H35" i="29"/>
  <c r="H36" i="29"/>
  <c r="H37" i="29"/>
  <c r="H38" i="29"/>
  <c r="H39" i="29"/>
  <c r="H40" i="29"/>
  <c r="H41" i="29"/>
  <c r="H42" i="29"/>
  <c r="H43" i="29"/>
  <c r="H44" i="29"/>
  <c r="H45" i="29"/>
  <c r="H46" i="29"/>
  <c r="H47" i="29"/>
  <c r="H48" i="29"/>
  <c r="H49" i="29"/>
  <c r="H50" i="29"/>
  <c r="H51" i="29"/>
  <c r="H52" i="29"/>
  <c r="H53" i="29"/>
  <c r="H54" i="29"/>
  <c r="H55" i="29"/>
  <c r="H56" i="29"/>
  <c r="H57" i="29"/>
  <c r="H58" i="29"/>
  <c r="H59" i="29"/>
  <c r="H60" i="29"/>
  <c r="H61" i="29"/>
  <c r="H62" i="29"/>
  <c r="H63" i="29"/>
  <c r="H64" i="29"/>
  <c r="H65" i="29"/>
  <c r="H66" i="29"/>
  <c r="H67" i="29"/>
  <c r="H68" i="29"/>
  <c r="H69" i="29"/>
  <c r="H70" i="29"/>
  <c r="G1" i="29"/>
  <c r="G2" i="29"/>
  <c r="G3" i="29"/>
  <c r="G4" i="29"/>
  <c r="G5" i="29"/>
  <c r="G6" i="29"/>
  <c r="G7" i="29"/>
  <c r="G8" i="29"/>
  <c r="G9" i="29"/>
  <c r="G10" i="29"/>
  <c r="G11" i="29"/>
  <c r="G12" i="29"/>
  <c r="G13" i="29"/>
  <c r="G14" i="29"/>
  <c r="G15" i="29"/>
  <c r="G16" i="29"/>
  <c r="G17" i="29"/>
  <c r="G18" i="29"/>
  <c r="G19" i="29"/>
  <c r="G20" i="29"/>
  <c r="G21" i="29"/>
  <c r="G22" i="29"/>
  <c r="G23" i="29"/>
  <c r="G24" i="29"/>
  <c r="G25" i="29"/>
  <c r="G26" i="29"/>
  <c r="G27" i="29"/>
  <c r="G28" i="29"/>
  <c r="G29" i="29"/>
  <c r="G30" i="29"/>
  <c r="G31" i="29"/>
  <c r="G32" i="29"/>
  <c r="G33" i="29"/>
  <c r="G34" i="29"/>
  <c r="G35" i="29"/>
  <c r="G36" i="29"/>
  <c r="G37" i="29"/>
  <c r="G38" i="29"/>
  <c r="G39" i="29"/>
  <c r="G40" i="29"/>
  <c r="G41" i="29"/>
  <c r="G42" i="29"/>
  <c r="G43" i="29"/>
  <c r="G44" i="29"/>
  <c r="G45" i="29"/>
  <c r="G46" i="29"/>
  <c r="G47" i="29"/>
  <c r="G48" i="29"/>
  <c r="G49" i="29"/>
  <c r="G50" i="29"/>
  <c r="G51" i="29"/>
  <c r="G52" i="29"/>
  <c r="G53" i="29"/>
  <c r="G54" i="29"/>
  <c r="G55" i="29"/>
  <c r="G56" i="29"/>
  <c r="G57" i="29"/>
  <c r="G58" i="29"/>
  <c r="G59" i="29"/>
  <c r="G60" i="29"/>
  <c r="G61" i="29"/>
  <c r="G62" i="29"/>
  <c r="G63" i="29"/>
  <c r="G64" i="29"/>
  <c r="G65" i="29"/>
  <c r="G66" i="29"/>
  <c r="G67" i="29"/>
  <c r="G68" i="29"/>
  <c r="G69" i="29"/>
  <c r="G70" i="29"/>
  <c r="D1" i="29"/>
  <c r="D2" i="29"/>
  <c r="D3" i="29"/>
  <c r="D4" i="29"/>
  <c r="D5" i="29"/>
  <c r="D6" i="29"/>
  <c r="D7" i="29"/>
  <c r="D8" i="29"/>
  <c r="D9" i="29"/>
  <c r="D10" i="29"/>
  <c r="D11" i="29"/>
  <c r="D12" i="29"/>
  <c r="D13" i="29"/>
  <c r="D14" i="29"/>
  <c r="D15" i="29"/>
  <c r="D16" i="29"/>
  <c r="D17" i="29"/>
  <c r="D18" i="29"/>
  <c r="D19" i="29"/>
  <c r="D20" i="29"/>
  <c r="D21" i="29"/>
  <c r="D22" i="29"/>
  <c r="D23" i="29"/>
  <c r="D24" i="29"/>
  <c r="D25" i="29"/>
  <c r="D26" i="29"/>
  <c r="D27" i="29"/>
  <c r="D28" i="29"/>
  <c r="D29" i="29"/>
  <c r="D30" i="29"/>
  <c r="D31" i="29"/>
  <c r="D32" i="29"/>
  <c r="D33" i="29"/>
  <c r="D34" i="29"/>
  <c r="D35" i="29"/>
  <c r="D36" i="29"/>
  <c r="D37" i="29"/>
  <c r="D38" i="29"/>
  <c r="D39" i="29"/>
  <c r="D40" i="29"/>
  <c r="D41" i="29"/>
  <c r="D42" i="29"/>
  <c r="D43" i="29"/>
  <c r="D44" i="29"/>
  <c r="D45" i="29"/>
  <c r="D46" i="29"/>
  <c r="D47" i="29"/>
  <c r="D48" i="29"/>
  <c r="D49" i="29"/>
  <c r="D50" i="29"/>
  <c r="D51" i="29"/>
  <c r="D52" i="29"/>
  <c r="D53" i="29"/>
  <c r="D54" i="29"/>
  <c r="D55" i="29"/>
  <c r="D56" i="29"/>
  <c r="D57" i="29"/>
  <c r="D58" i="29"/>
  <c r="D59" i="29"/>
  <c r="D60" i="29"/>
  <c r="D61" i="29"/>
  <c r="D62" i="29"/>
  <c r="D63" i="29"/>
  <c r="D64" i="29"/>
  <c r="D65" i="29"/>
  <c r="D66" i="29"/>
  <c r="D67" i="29"/>
  <c r="D68" i="29"/>
  <c r="D69" i="29"/>
  <c r="D70" i="29"/>
  <c r="C1" i="29"/>
  <c r="C2" i="29"/>
  <c r="C3" i="29"/>
  <c r="C4" i="29"/>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H1" i="26"/>
  <c r="H2" i="26"/>
  <c r="H3" i="26"/>
  <c r="H4" i="26"/>
  <c r="H5" i="26"/>
  <c r="H6" i="26"/>
  <c r="H7" i="26"/>
  <c r="H8" i="26"/>
  <c r="H9" i="26"/>
  <c r="H10" i="26"/>
  <c r="H11" i="26"/>
  <c r="H12" i="26"/>
  <c r="H13" i="26"/>
  <c r="H14" i="26"/>
  <c r="H15" i="26"/>
  <c r="H16" i="26"/>
  <c r="H17" i="26"/>
  <c r="H18" i="26"/>
  <c r="H19" i="26"/>
  <c r="H20" i="26"/>
  <c r="H21" i="26"/>
  <c r="H22" i="26"/>
  <c r="H23" i="26"/>
  <c r="H24" i="26"/>
  <c r="H25" i="26"/>
  <c r="H26" i="26"/>
  <c r="H27" i="26"/>
  <c r="H28" i="26"/>
  <c r="H29" i="26"/>
  <c r="H30" i="26"/>
  <c r="H31" i="26"/>
  <c r="H32" i="26"/>
  <c r="H33" i="26"/>
  <c r="H34" i="26"/>
  <c r="H35" i="26"/>
  <c r="H36" i="26"/>
  <c r="H37" i="26"/>
  <c r="H38" i="26"/>
  <c r="H39" i="26"/>
  <c r="H40" i="26"/>
  <c r="H41" i="26"/>
  <c r="H42" i="26"/>
  <c r="H43" i="26"/>
  <c r="H44" i="26"/>
  <c r="H45" i="26"/>
  <c r="H46" i="26"/>
  <c r="H47" i="26"/>
  <c r="H48" i="26"/>
  <c r="H49" i="26"/>
  <c r="H50" i="26"/>
  <c r="H51" i="26"/>
  <c r="H52" i="26"/>
  <c r="H53" i="26"/>
  <c r="H54" i="26"/>
  <c r="H55" i="26"/>
  <c r="H56" i="26"/>
  <c r="H57" i="26"/>
  <c r="H58" i="26"/>
  <c r="H59" i="26"/>
  <c r="H60" i="26"/>
  <c r="H61" i="26"/>
  <c r="H62" i="26"/>
  <c r="H63" i="26"/>
  <c r="H64" i="26"/>
  <c r="H65" i="26"/>
  <c r="H66" i="26"/>
  <c r="H67" i="26"/>
  <c r="H68" i="26"/>
  <c r="H69" i="26"/>
  <c r="H70" i="26"/>
  <c r="G1" i="26"/>
  <c r="G2" i="26"/>
  <c r="G3" i="26"/>
  <c r="G4" i="26"/>
  <c r="G5" i="26"/>
  <c r="G6" i="26"/>
  <c r="G7" i="26"/>
  <c r="G8" i="26"/>
  <c r="G9" i="26"/>
  <c r="G10" i="26"/>
  <c r="G11" i="26"/>
  <c r="G12" i="26"/>
  <c r="G13" i="26"/>
  <c r="G14" i="26"/>
  <c r="G15" i="26"/>
  <c r="G16" i="26"/>
  <c r="G17" i="26"/>
  <c r="G18" i="26"/>
  <c r="G19" i="26"/>
  <c r="G20" i="26"/>
  <c r="G21" i="26"/>
  <c r="G22" i="26"/>
  <c r="G23" i="26"/>
  <c r="G24" i="26"/>
  <c r="G25" i="26"/>
  <c r="G26" i="26"/>
  <c r="G27" i="26"/>
  <c r="G28" i="26"/>
  <c r="G29" i="26"/>
  <c r="G30" i="26"/>
  <c r="G31" i="26"/>
  <c r="G32" i="26"/>
  <c r="G33" i="26"/>
  <c r="G34" i="26"/>
  <c r="G35" i="26"/>
  <c r="G36" i="26"/>
  <c r="G37" i="26"/>
  <c r="G38" i="26"/>
  <c r="G39" i="26"/>
  <c r="G40" i="26"/>
  <c r="G41" i="26"/>
  <c r="G42" i="26"/>
  <c r="G43" i="26"/>
  <c r="G44" i="26"/>
  <c r="G45" i="26"/>
  <c r="G46" i="26"/>
  <c r="G47" i="26"/>
  <c r="G48" i="26"/>
  <c r="G49" i="26"/>
  <c r="G50" i="26"/>
  <c r="G51" i="26"/>
  <c r="G52" i="26"/>
  <c r="G53" i="26"/>
  <c r="G54" i="26"/>
  <c r="G55" i="26"/>
  <c r="G56" i="26"/>
  <c r="G57" i="26"/>
  <c r="G58" i="26"/>
  <c r="G59" i="26"/>
  <c r="G60" i="26"/>
  <c r="G61" i="26"/>
  <c r="G62" i="26"/>
  <c r="G63" i="26"/>
  <c r="G64" i="26"/>
  <c r="G65" i="26"/>
  <c r="G66" i="26"/>
  <c r="G67" i="26"/>
  <c r="G68" i="26"/>
  <c r="G69" i="26"/>
  <c r="G70" i="26"/>
  <c r="D1" i="26"/>
  <c r="D2" i="26"/>
  <c r="D3" i="26"/>
  <c r="D4" i="26"/>
  <c r="D5" i="26"/>
  <c r="D6" i="26"/>
  <c r="D7" i="26"/>
  <c r="D8" i="26"/>
  <c r="D9" i="26"/>
  <c r="D10" i="26"/>
  <c r="D11" i="26"/>
  <c r="D12" i="26"/>
  <c r="D13" i="26"/>
  <c r="D14" i="26"/>
  <c r="D15" i="26"/>
  <c r="D16" i="26"/>
  <c r="D17" i="26"/>
  <c r="D18" i="26"/>
  <c r="D19" i="26"/>
  <c r="D20" i="26"/>
  <c r="D21" i="26"/>
  <c r="D22" i="26"/>
  <c r="D23" i="26"/>
  <c r="D24" i="26"/>
  <c r="D25" i="26"/>
  <c r="D26" i="26"/>
  <c r="D27" i="26"/>
  <c r="D28" i="26"/>
  <c r="D29" i="26"/>
  <c r="D30" i="26"/>
  <c r="D31" i="26"/>
  <c r="D32" i="26"/>
  <c r="D33" i="26"/>
  <c r="D34" i="26"/>
  <c r="D35" i="26"/>
  <c r="D36" i="26"/>
  <c r="D37" i="26"/>
  <c r="D38" i="26"/>
  <c r="D39" i="26"/>
  <c r="D40" i="26"/>
  <c r="D41" i="26"/>
  <c r="D42" i="26"/>
  <c r="D43" i="26"/>
  <c r="D44" i="26"/>
  <c r="D45" i="26"/>
  <c r="D46" i="26"/>
  <c r="D47" i="26"/>
  <c r="D48" i="26"/>
  <c r="D49" i="26"/>
  <c r="D50" i="26"/>
  <c r="D51" i="26"/>
  <c r="D52" i="26"/>
  <c r="D53" i="26"/>
  <c r="D54" i="26"/>
  <c r="D55" i="26"/>
  <c r="D56" i="26"/>
  <c r="D57" i="26"/>
  <c r="D58" i="26"/>
  <c r="D59" i="26"/>
  <c r="D60" i="26"/>
  <c r="D61" i="26"/>
  <c r="D62" i="26"/>
  <c r="D63" i="26"/>
  <c r="D64" i="26"/>
  <c r="D65" i="26"/>
  <c r="D66" i="26"/>
  <c r="D67" i="26"/>
  <c r="D68" i="26"/>
  <c r="D69" i="26"/>
  <c r="D70" i="26"/>
  <c r="C1" i="26"/>
  <c r="C2" i="26"/>
  <c r="C3" i="26"/>
  <c r="C4" i="26"/>
  <c r="C5" i="26"/>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68" i="26"/>
  <c r="C69" i="26"/>
  <c r="C70" i="26"/>
  <c r="H1" i="24"/>
  <c r="H2" i="24"/>
  <c r="H3" i="24"/>
  <c r="H4" i="24"/>
  <c r="H5" i="24"/>
  <c r="H6" i="24"/>
  <c r="H7" i="24"/>
  <c r="H8" i="24"/>
  <c r="H9" i="24"/>
  <c r="H10" i="24"/>
  <c r="H11" i="24"/>
  <c r="H12" i="24"/>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44" i="24"/>
  <c r="H45" i="24"/>
  <c r="H46" i="24"/>
  <c r="H47" i="24"/>
  <c r="H48" i="24"/>
  <c r="H49" i="24"/>
  <c r="H50" i="24"/>
  <c r="H51" i="24"/>
  <c r="H52" i="24"/>
  <c r="H53" i="24"/>
  <c r="H54" i="24"/>
  <c r="H55" i="24"/>
  <c r="H56" i="24"/>
  <c r="H57" i="24"/>
  <c r="H58" i="24"/>
  <c r="H59" i="24"/>
  <c r="H60" i="24"/>
  <c r="H61" i="24"/>
  <c r="H62" i="24"/>
  <c r="H63" i="24"/>
  <c r="H64" i="24"/>
  <c r="H65" i="24"/>
  <c r="H66" i="24"/>
  <c r="H67" i="24"/>
  <c r="H68" i="24"/>
  <c r="H69" i="24"/>
  <c r="H70" i="24"/>
  <c r="G1" i="24"/>
  <c r="G2" i="24"/>
  <c r="G3" i="24"/>
  <c r="G4" i="24"/>
  <c r="G5" i="24"/>
  <c r="G6" i="24"/>
  <c r="G7" i="24"/>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G35" i="24"/>
  <c r="G36" i="24"/>
  <c r="G37" i="24"/>
  <c r="G38" i="24"/>
  <c r="G39" i="24"/>
  <c r="G40" i="24"/>
  <c r="G41" i="24"/>
  <c r="G42" i="24"/>
  <c r="G43" i="24"/>
  <c r="G44" i="24"/>
  <c r="G45" i="24"/>
  <c r="G46" i="24"/>
  <c r="G47" i="24"/>
  <c r="G48" i="24"/>
  <c r="G49" i="24"/>
  <c r="G50" i="24"/>
  <c r="G51" i="24"/>
  <c r="G52" i="24"/>
  <c r="G53" i="24"/>
  <c r="G54" i="24"/>
  <c r="G55" i="24"/>
  <c r="G56" i="24"/>
  <c r="G57" i="24"/>
  <c r="G58" i="24"/>
  <c r="G59" i="24"/>
  <c r="G60" i="24"/>
  <c r="G61" i="24"/>
  <c r="G62" i="24"/>
  <c r="G63" i="24"/>
  <c r="G64" i="24"/>
  <c r="G65" i="24"/>
  <c r="G66" i="24"/>
  <c r="G67" i="24"/>
  <c r="G68" i="24"/>
  <c r="G69" i="24"/>
  <c r="G70" i="24"/>
  <c r="D1" i="24"/>
  <c r="D2" i="24"/>
  <c r="D3" i="24"/>
  <c r="D4" i="24"/>
  <c r="D5" i="24"/>
  <c r="D6" i="24"/>
  <c r="D7" i="24"/>
  <c r="D8" i="24"/>
  <c r="D9" i="24"/>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C1" i="24"/>
  <c r="C2" i="24"/>
  <c r="C3" i="24"/>
  <c r="C4" i="24"/>
  <c r="C5" i="24"/>
  <c r="C6" i="24"/>
  <c r="C7" i="24"/>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P1" i="22"/>
  <c r="P2" i="22"/>
  <c r="P3" i="22"/>
  <c r="P4" i="22"/>
  <c r="P5" i="22"/>
  <c r="P6" i="22"/>
  <c r="P7" i="22"/>
  <c r="P8" i="22"/>
  <c r="P9" i="22"/>
  <c r="P10" i="22"/>
  <c r="P11" i="22"/>
  <c r="P12" i="22"/>
  <c r="P13" i="22"/>
  <c r="P14" i="22"/>
  <c r="P15" i="22"/>
  <c r="P16" i="22"/>
  <c r="P17" i="22"/>
  <c r="P18" i="22"/>
  <c r="P19" i="22"/>
  <c r="P20" i="22"/>
  <c r="P21" i="22"/>
  <c r="P22" i="22"/>
  <c r="P23" i="22"/>
  <c r="P24" i="22"/>
  <c r="P25" i="22"/>
  <c r="P26" i="22"/>
  <c r="P27" i="22"/>
  <c r="P28" i="22"/>
  <c r="P29" i="22"/>
  <c r="P30" i="22"/>
  <c r="P31" i="22"/>
  <c r="P32" i="22"/>
  <c r="P33" i="22"/>
  <c r="P34" i="22"/>
  <c r="P35" i="22"/>
  <c r="P36" i="22"/>
  <c r="P37" i="22"/>
  <c r="P38" i="22"/>
  <c r="P39" i="22"/>
  <c r="P40" i="22"/>
  <c r="P41" i="22"/>
  <c r="P42" i="22"/>
  <c r="P43" i="22"/>
  <c r="P44" i="22"/>
  <c r="P45" i="22"/>
  <c r="P46" i="22"/>
  <c r="P47" i="22"/>
  <c r="P48" i="22"/>
  <c r="P49" i="22"/>
  <c r="P50" i="22"/>
  <c r="P51" i="22"/>
  <c r="P52" i="22"/>
  <c r="P53" i="22"/>
  <c r="P54" i="22"/>
  <c r="P55" i="22"/>
  <c r="P56" i="22"/>
  <c r="P57" i="22"/>
  <c r="P58" i="22"/>
  <c r="P59" i="22"/>
  <c r="P60" i="22"/>
  <c r="P61" i="22"/>
  <c r="P62" i="22"/>
  <c r="P63" i="22"/>
  <c r="P64" i="22"/>
  <c r="P65" i="22"/>
  <c r="P66" i="22"/>
  <c r="P67" i="22"/>
  <c r="P68" i="22"/>
  <c r="P69" i="22"/>
  <c r="P70" i="22"/>
  <c r="O1" i="22"/>
  <c r="O2" i="22"/>
  <c r="O3" i="22"/>
  <c r="O4" i="22"/>
  <c r="O5" i="22"/>
  <c r="O6" i="22"/>
  <c r="O7" i="22"/>
  <c r="O8" i="22"/>
  <c r="O9"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O55" i="22"/>
  <c r="O56" i="22"/>
  <c r="O57" i="22"/>
  <c r="O58" i="22"/>
  <c r="O59" i="22"/>
  <c r="O60" i="22"/>
  <c r="O61" i="22"/>
  <c r="O62" i="22"/>
  <c r="O63" i="22"/>
  <c r="O64" i="22"/>
  <c r="O65" i="22"/>
  <c r="O66" i="22"/>
  <c r="O67" i="22"/>
  <c r="O68" i="22"/>
  <c r="O69" i="22"/>
  <c r="O70" i="22"/>
  <c r="L1" i="22"/>
  <c r="L2" i="22"/>
  <c r="L3" i="22"/>
  <c r="L4" i="22"/>
  <c r="L5" i="22"/>
  <c r="L6" i="22"/>
  <c r="L7" i="22"/>
  <c r="L8" i="22"/>
  <c r="L9" i="22"/>
  <c r="L10" i="22"/>
  <c r="L11" i="22"/>
  <c r="L12" i="22"/>
  <c r="L13" i="22"/>
  <c r="L14" i="22"/>
  <c r="L15" i="22"/>
  <c r="L16" i="22"/>
  <c r="L17" i="22"/>
  <c r="L18" i="22"/>
  <c r="L19" i="22"/>
  <c r="L20" i="22"/>
  <c r="L21" i="22"/>
  <c r="L22" i="22"/>
  <c r="L23" i="22"/>
  <c r="L24" i="22"/>
  <c r="L25" i="22"/>
  <c r="L26" i="22"/>
  <c r="L27" i="22"/>
  <c r="L28" i="22"/>
  <c r="L29" i="22"/>
  <c r="L30" i="22"/>
  <c r="L31" i="22"/>
  <c r="L32" i="22"/>
  <c r="L33" i="22"/>
  <c r="L34" i="22"/>
  <c r="L35" i="22"/>
  <c r="L36" i="22"/>
  <c r="L37" i="22"/>
  <c r="L38" i="22"/>
  <c r="L39" i="22"/>
  <c r="L40" i="22"/>
  <c r="L41" i="22"/>
  <c r="L42" i="22"/>
  <c r="L43" i="22"/>
  <c r="L44" i="22"/>
  <c r="L45" i="22"/>
  <c r="L46" i="22"/>
  <c r="L47" i="22"/>
  <c r="L48" i="22"/>
  <c r="L49" i="22"/>
  <c r="L50" i="22"/>
  <c r="L51" i="22"/>
  <c r="L52" i="22"/>
  <c r="L53" i="22"/>
  <c r="L54" i="22"/>
  <c r="L55" i="22"/>
  <c r="L56" i="22"/>
  <c r="L57" i="22"/>
  <c r="L58" i="22"/>
  <c r="L59" i="22"/>
  <c r="L60" i="22"/>
  <c r="L61" i="22"/>
  <c r="L62" i="22"/>
  <c r="L63" i="22"/>
  <c r="L64" i="22"/>
  <c r="L65" i="22"/>
  <c r="L66" i="22"/>
  <c r="L67" i="22"/>
  <c r="L68" i="22"/>
  <c r="L69" i="22"/>
  <c r="L70" i="22"/>
  <c r="K1" i="22"/>
  <c r="K2" i="22"/>
  <c r="K3" i="22"/>
  <c r="K4" i="22"/>
  <c r="K5" i="22"/>
  <c r="K6" i="22"/>
  <c r="K7" i="22"/>
  <c r="K8" i="22"/>
  <c r="K9" i="22"/>
  <c r="K10" i="22"/>
  <c r="K11" i="22"/>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H1" i="22"/>
  <c r="H2" i="22"/>
  <c r="H3" i="22"/>
  <c r="H4" i="22"/>
  <c r="H5" i="22"/>
  <c r="H6" i="22"/>
  <c r="H7" i="22"/>
  <c r="H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G1" i="22"/>
  <c r="G2" i="22"/>
  <c r="G3" i="22"/>
  <c r="G4" i="22"/>
  <c r="G5" i="22"/>
  <c r="G6" i="22"/>
  <c r="G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D1" i="22"/>
  <c r="D2" i="22"/>
  <c r="D3" i="22"/>
  <c r="D4" i="22"/>
  <c r="D5" i="22"/>
  <c r="D6" i="22"/>
  <c r="D7" i="22"/>
  <c r="D8" i="22"/>
  <c r="D9" i="22"/>
  <c r="D10" i="22"/>
  <c r="D11" i="22"/>
  <c r="D12" i="22"/>
  <c r="D13" i="22"/>
  <c r="D14" i="22"/>
  <c r="D15" i="22"/>
  <c r="D16" i="22"/>
  <c r="D17" i="22"/>
  <c r="D18" i="22"/>
  <c r="D19" i="22"/>
  <c r="D20" i="22"/>
  <c r="D21" i="22"/>
  <c r="D22" i="22"/>
  <c r="D23" i="22"/>
  <c r="D24" i="22"/>
  <c r="D25" i="22"/>
  <c r="D26" i="22"/>
  <c r="D27" i="22"/>
  <c r="D28" i="22"/>
  <c r="D29" i="22"/>
  <c r="D30" i="22"/>
  <c r="D31" i="22"/>
  <c r="D32" i="22"/>
  <c r="D33" i="22"/>
  <c r="D34" i="22"/>
  <c r="D35" i="22"/>
  <c r="D36" i="22"/>
  <c r="D37" i="22"/>
  <c r="D38" i="22"/>
  <c r="D39" i="22"/>
  <c r="D40" i="22"/>
  <c r="D41" i="22"/>
  <c r="D42" i="22"/>
  <c r="D43" i="22"/>
  <c r="D44" i="22"/>
  <c r="D45" i="22"/>
  <c r="D46" i="22"/>
  <c r="D47" i="22"/>
  <c r="D48" i="22"/>
  <c r="D49" i="22"/>
  <c r="D50" i="22"/>
  <c r="D51" i="22"/>
  <c r="D52" i="22"/>
  <c r="D53" i="22"/>
  <c r="D54" i="22"/>
  <c r="D55" i="22"/>
  <c r="D56" i="22"/>
  <c r="D57" i="22"/>
  <c r="D58" i="22"/>
  <c r="D59" i="22"/>
  <c r="D60" i="22"/>
  <c r="D61" i="22"/>
  <c r="D62" i="22"/>
  <c r="D63" i="22"/>
  <c r="D64" i="22"/>
  <c r="D65" i="22"/>
  <c r="D66" i="22"/>
  <c r="D67" i="22"/>
  <c r="D68" i="22"/>
  <c r="D69" i="22"/>
  <c r="D70" i="22"/>
  <c r="C1" i="22"/>
  <c r="C2" i="22"/>
  <c r="C3" i="22"/>
  <c r="C4" i="22"/>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332" i="3" l="1"/>
  <c r="C333" i="3"/>
  <c r="C334" i="3"/>
  <c r="H1" i="19"/>
  <c r="H2" i="19"/>
  <c r="H3" i="19"/>
  <c r="H4" i="19"/>
  <c r="H5" i="19"/>
  <c r="H6" i="19"/>
  <c r="H7" i="19"/>
  <c r="H8" i="19"/>
  <c r="H9" i="19"/>
  <c r="H10" i="19"/>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50" i="19"/>
  <c r="H51" i="19"/>
  <c r="H52" i="19"/>
  <c r="H53" i="19"/>
  <c r="H54" i="19"/>
  <c r="H55" i="19"/>
  <c r="H56" i="19"/>
  <c r="H57" i="19"/>
  <c r="H58" i="19"/>
  <c r="H59" i="19"/>
  <c r="H60" i="19"/>
  <c r="H61" i="19"/>
  <c r="H62" i="19"/>
  <c r="H63" i="19"/>
  <c r="H64" i="19"/>
  <c r="H65" i="19"/>
  <c r="H66" i="19"/>
  <c r="H67" i="19"/>
  <c r="H68" i="19"/>
  <c r="H69" i="19"/>
  <c r="H70" i="19"/>
  <c r="G1" i="19"/>
  <c r="G2" i="19"/>
  <c r="G3" i="19"/>
  <c r="G4" i="19"/>
  <c r="G5" i="19"/>
  <c r="G6" i="19"/>
  <c r="G7" i="19"/>
  <c r="G8"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G41" i="19"/>
  <c r="G42" i="19"/>
  <c r="G43" i="19"/>
  <c r="G44" i="19"/>
  <c r="G45" i="19"/>
  <c r="G46" i="19"/>
  <c r="G47" i="19"/>
  <c r="G48" i="19"/>
  <c r="G49" i="19"/>
  <c r="G50" i="19"/>
  <c r="G51" i="19"/>
  <c r="G52" i="19"/>
  <c r="G53" i="19"/>
  <c r="G54" i="19"/>
  <c r="G55" i="19"/>
  <c r="G56" i="19"/>
  <c r="G57" i="19"/>
  <c r="G58" i="19"/>
  <c r="G59" i="19"/>
  <c r="G60" i="19"/>
  <c r="G61" i="19"/>
  <c r="G62" i="19"/>
  <c r="G63" i="19"/>
  <c r="G64" i="19"/>
  <c r="G65" i="19"/>
  <c r="G66" i="19"/>
  <c r="G67" i="19"/>
  <c r="G68" i="19"/>
  <c r="G69" i="19"/>
  <c r="G70" i="19"/>
  <c r="D1" i="19"/>
  <c r="D2" i="19"/>
  <c r="D3" i="19"/>
  <c r="D4" i="19"/>
  <c r="D5" i="19"/>
  <c r="D6" i="19"/>
  <c r="D7" i="19"/>
  <c r="D8"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43" i="19"/>
  <c r="D44" i="19"/>
  <c r="D45" i="19"/>
  <c r="D46" i="19"/>
  <c r="D47" i="19"/>
  <c r="D48" i="19"/>
  <c r="D49" i="19"/>
  <c r="D50" i="19"/>
  <c r="D51" i="19"/>
  <c r="D52" i="19"/>
  <c r="D53" i="19"/>
  <c r="D54" i="19"/>
  <c r="D55" i="19"/>
  <c r="D56" i="19"/>
  <c r="D57" i="19"/>
  <c r="D58" i="19"/>
  <c r="D59" i="19"/>
  <c r="D60" i="19"/>
  <c r="D61" i="19"/>
  <c r="D62" i="19"/>
  <c r="D63" i="19"/>
  <c r="D64" i="19"/>
  <c r="D65" i="19"/>
  <c r="D66" i="19"/>
  <c r="D67" i="19"/>
  <c r="D68" i="19"/>
  <c r="D69" i="19"/>
  <c r="D70" i="19"/>
  <c r="C1" i="19"/>
  <c r="C2" i="19"/>
  <c r="C3" i="19"/>
  <c r="C4" i="19"/>
  <c r="C5"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H1" i="17"/>
  <c r="H2" i="17"/>
  <c r="H3" i="17"/>
  <c r="H4" i="17"/>
  <c r="H5" i="17"/>
  <c r="H6"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G1" i="17"/>
  <c r="G2" i="17"/>
  <c r="G3" i="17"/>
  <c r="G4" i="17"/>
  <c r="G5" i="17"/>
  <c r="G6" i="17"/>
  <c r="G7" i="17"/>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D1" i="17"/>
  <c r="D2" i="17"/>
  <c r="D3" i="17"/>
  <c r="D4" i="17"/>
  <c r="D5"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C1" i="17"/>
  <c r="C2" i="17"/>
  <c r="C3" i="17"/>
  <c r="C4" i="1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X1" i="15"/>
  <c r="X2" i="15"/>
  <c r="X3" i="15"/>
  <c r="X4" i="15"/>
  <c r="X5" i="15"/>
  <c r="X6" i="15"/>
  <c r="X7" i="15"/>
  <c r="X8" i="15"/>
  <c r="X9" i="15"/>
  <c r="X10" i="15"/>
  <c r="X11" i="15"/>
  <c r="X12" i="15"/>
  <c r="X13" i="15"/>
  <c r="X14" i="15"/>
  <c r="X15" i="15"/>
  <c r="X16" i="15"/>
  <c r="X17" i="15"/>
  <c r="X18" i="15"/>
  <c r="X19" i="15"/>
  <c r="X20" i="15"/>
  <c r="X21" i="15"/>
  <c r="X22" i="15"/>
  <c r="X23" i="15"/>
  <c r="X24" i="15"/>
  <c r="X25" i="15"/>
  <c r="X26" i="15"/>
  <c r="X27" i="15"/>
  <c r="X28" i="15"/>
  <c r="X29" i="15"/>
  <c r="X30" i="15"/>
  <c r="X31" i="15"/>
  <c r="X32" i="15"/>
  <c r="X33" i="15"/>
  <c r="X34" i="15"/>
  <c r="X35" i="15"/>
  <c r="X36" i="15"/>
  <c r="X37" i="15"/>
  <c r="X38" i="15"/>
  <c r="X39" i="15"/>
  <c r="X40" i="15"/>
  <c r="X41" i="15"/>
  <c r="X42" i="15"/>
  <c r="X43" i="15"/>
  <c r="X44" i="15"/>
  <c r="X45" i="15"/>
  <c r="X46" i="15"/>
  <c r="X47" i="15"/>
  <c r="X48" i="15"/>
  <c r="X49" i="15"/>
  <c r="X50" i="15"/>
  <c r="X51" i="15"/>
  <c r="X52" i="15"/>
  <c r="X53" i="15"/>
  <c r="X54" i="15"/>
  <c r="X55" i="15"/>
  <c r="X56" i="15"/>
  <c r="X57" i="15"/>
  <c r="X58" i="15"/>
  <c r="X59" i="15"/>
  <c r="X60" i="15"/>
  <c r="X61" i="15"/>
  <c r="X62" i="15"/>
  <c r="X63" i="15"/>
  <c r="X64" i="15"/>
  <c r="X65" i="15"/>
  <c r="X66" i="15"/>
  <c r="X67" i="15"/>
  <c r="X68" i="15"/>
  <c r="X69" i="15"/>
  <c r="X70" i="15"/>
  <c r="W1" i="15"/>
  <c r="W2" i="15"/>
  <c r="W3" i="15"/>
  <c r="W4" i="15"/>
  <c r="W5" i="15"/>
  <c r="W6" i="15"/>
  <c r="W7" i="15"/>
  <c r="W8" i="15"/>
  <c r="W9" i="15"/>
  <c r="W10" i="15"/>
  <c r="W11" i="15"/>
  <c r="W12" i="15"/>
  <c r="W13" i="15"/>
  <c r="W14" i="15"/>
  <c r="W15" i="15"/>
  <c r="W16" i="15"/>
  <c r="W17" i="15"/>
  <c r="W18" i="15"/>
  <c r="W19" i="15"/>
  <c r="W20" i="15"/>
  <c r="W21" i="15"/>
  <c r="W22" i="15"/>
  <c r="W23" i="15"/>
  <c r="W24" i="15"/>
  <c r="W25" i="15"/>
  <c r="W26" i="15"/>
  <c r="W27" i="15"/>
  <c r="W28" i="15"/>
  <c r="W29" i="15"/>
  <c r="W30" i="15"/>
  <c r="W31" i="15"/>
  <c r="W32" i="15"/>
  <c r="W33" i="15"/>
  <c r="W34" i="15"/>
  <c r="W35" i="15"/>
  <c r="W36" i="15"/>
  <c r="W37" i="15"/>
  <c r="W38" i="15"/>
  <c r="W39" i="15"/>
  <c r="W40" i="15"/>
  <c r="W41" i="15"/>
  <c r="W42" i="15"/>
  <c r="W43" i="15"/>
  <c r="W44" i="15"/>
  <c r="W45" i="15"/>
  <c r="W46" i="15"/>
  <c r="W47" i="15"/>
  <c r="W48" i="15"/>
  <c r="W49" i="15"/>
  <c r="W50" i="15"/>
  <c r="W51" i="15"/>
  <c r="W52" i="15"/>
  <c r="W53" i="15"/>
  <c r="W54" i="15"/>
  <c r="W55" i="15"/>
  <c r="W56" i="15"/>
  <c r="W57" i="15"/>
  <c r="W58" i="15"/>
  <c r="W59" i="15"/>
  <c r="W60" i="15"/>
  <c r="W61" i="15"/>
  <c r="W62" i="15"/>
  <c r="W63" i="15"/>
  <c r="W64" i="15"/>
  <c r="W65" i="15"/>
  <c r="W66" i="15"/>
  <c r="W67" i="15"/>
  <c r="W68" i="15"/>
  <c r="W69" i="15"/>
  <c r="W70" i="15"/>
  <c r="T1" i="15"/>
  <c r="T2" i="15"/>
  <c r="T3" i="15"/>
  <c r="T4" i="15"/>
  <c r="T5" i="15"/>
  <c r="T6" i="15"/>
  <c r="T7" i="15"/>
  <c r="T8" i="15"/>
  <c r="T9" i="15"/>
  <c r="T10" i="15"/>
  <c r="T11" i="15"/>
  <c r="T12" i="15"/>
  <c r="T13" i="15"/>
  <c r="T14" i="15"/>
  <c r="T15" i="15"/>
  <c r="T16" i="15"/>
  <c r="T17" i="15"/>
  <c r="T18" i="15"/>
  <c r="T19" i="15"/>
  <c r="T20" i="15"/>
  <c r="T21" i="15"/>
  <c r="T22" i="15"/>
  <c r="T23" i="15"/>
  <c r="T24" i="15"/>
  <c r="T25" i="15"/>
  <c r="T26" i="15"/>
  <c r="T27" i="15"/>
  <c r="T28" i="15"/>
  <c r="T29" i="15"/>
  <c r="T30" i="15"/>
  <c r="T31" i="15"/>
  <c r="T32" i="15"/>
  <c r="T33" i="15"/>
  <c r="T34" i="15"/>
  <c r="T35" i="15"/>
  <c r="T36" i="15"/>
  <c r="T37" i="15"/>
  <c r="T38" i="15"/>
  <c r="T39" i="15"/>
  <c r="T40" i="15"/>
  <c r="T41" i="15"/>
  <c r="T42" i="15"/>
  <c r="T43" i="15"/>
  <c r="T44" i="15"/>
  <c r="T45" i="15"/>
  <c r="T46" i="15"/>
  <c r="T47" i="15"/>
  <c r="T48" i="15"/>
  <c r="T49" i="15"/>
  <c r="T50" i="15"/>
  <c r="T51" i="15"/>
  <c r="T52" i="15"/>
  <c r="T53" i="15"/>
  <c r="T54" i="15"/>
  <c r="T55" i="15"/>
  <c r="T56" i="15"/>
  <c r="T57" i="15"/>
  <c r="T58" i="15"/>
  <c r="T59" i="15"/>
  <c r="T60" i="15"/>
  <c r="T61" i="15"/>
  <c r="T62" i="15"/>
  <c r="T63" i="15"/>
  <c r="T64" i="15"/>
  <c r="T65" i="15"/>
  <c r="T66" i="15"/>
  <c r="T67" i="15"/>
  <c r="T68" i="15"/>
  <c r="T69" i="15"/>
  <c r="T70" i="15"/>
  <c r="S1" i="15"/>
  <c r="S2" i="15"/>
  <c r="S3" i="15"/>
  <c r="S4" i="15"/>
  <c r="S5" i="15"/>
  <c r="S6" i="15"/>
  <c r="S7" i="15"/>
  <c r="S8" i="15"/>
  <c r="S9" i="15"/>
  <c r="S10" i="15"/>
  <c r="S11" i="15"/>
  <c r="S12" i="15"/>
  <c r="S13" i="15"/>
  <c r="S14" i="15"/>
  <c r="S15" i="15"/>
  <c r="S16" i="15"/>
  <c r="S17" i="15"/>
  <c r="S18" i="15"/>
  <c r="S19" i="15"/>
  <c r="S20" i="15"/>
  <c r="S21" i="15"/>
  <c r="S22" i="15"/>
  <c r="S23" i="15"/>
  <c r="S24" i="15"/>
  <c r="S25" i="15"/>
  <c r="S26" i="15"/>
  <c r="S27" i="15"/>
  <c r="S28" i="15"/>
  <c r="S29" i="15"/>
  <c r="S30" i="15"/>
  <c r="S31" i="15"/>
  <c r="S32" i="15"/>
  <c r="S33" i="15"/>
  <c r="S34" i="15"/>
  <c r="S35" i="15"/>
  <c r="S36" i="15"/>
  <c r="S37" i="15"/>
  <c r="S38" i="15"/>
  <c r="S39" i="15"/>
  <c r="S40" i="15"/>
  <c r="S41" i="15"/>
  <c r="S42" i="15"/>
  <c r="S43" i="15"/>
  <c r="S44" i="15"/>
  <c r="S45" i="15"/>
  <c r="S46" i="15"/>
  <c r="S47" i="15"/>
  <c r="S48" i="15"/>
  <c r="S49" i="15"/>
  <c r="S50" i="15"/>
  <c r="S51" i="15"/>
  <c r="S52" i="15"/>
  <c r="S53" i="15"/>
  <c r="S54" i="15"/>
  <c r="S55" i="15"/>
  <c r="S56" i="15"/>
  <c r="S57" i="15"/>
  <c r="S58" i="15"/>
  <c r="S59" i="15"/>
  <c r="S60" i="15"/>
  <c r="S61" i="15"/>
  <c r="S62" i="15"/>
  <c r="S63" i="15"/>
  <c r="S64" i="15"/>
  <c r="S65" i="15"/>
  <c r="S66" i="15"/>
  <c r="S67" i="15"/>
  <c r="S68" i="15"/>
  <c r="S69" i="15"/>
  <c r="S70" i="15"/>
  <c r="P1" i="15"/>
  <c r="P2" i="15"/>
  <c r="P3" i="15"/>
  <c r="P4" i="15"/>
  <c r="P5" i="15"/>
  <c r="P6" i="15"/>
  <c r="P7" i="15"/>
  <c r="P8" i="15"/>
  <c r="P9" i="15"/>
  <c r="P10" i="15"/>
  <c r="P11" i="15"/>
  <c r="P12" i="15"/>
  <c r="P13" i="15"/>
  <c r="P14" i="15"/>
  <c r="P15" i="15"/>
  <c r="P16" i="15"/>
  <c r="P17" i="15"/>
  <c r="P18" i="15"/>
  <c r="P19" i="15"/>
  <c r="P20" i="15"/>
  <c r="P21" i="15"/>
  <c r="P22" i="15"/>
  <c r="P23" i="15"/>
  <c r="P24" i="15"/>
  <c r="P25" i="15"/>
  <c r="P26" i="15"/>
  <c r="P27" i="15"/>
  <c r="P28" i="15"/>
  <c r="P29" i="15"/>
  <c r="P30" i="15"/>
  <c r="P31" i="15"/>
  <c r="P32" i="15"/>
  <c r="P33" i="15"/>
  <c r="P34" i="15"/>
  <c r="P35" i="15"/>
  <c r="P36" i="15"/>
  <c r="P37" i="15"/>
  <c r="P38" i="15"/>
  <c r="P39" i="15"/>
  <c r="P40" i="15"/>
  <c r="P41" i="15"/>
  <c r="P42" i="15"/>
  <c r="P43" i="15"/>
  <c r="P44" i="15"/>
  <c r="P45" i="15"/>
  <c r="P46" i="15"/>
  <c r="P47" i="15"/>
  <c r="P48" i="15"/>
  <c r="P49" i="15"/>
  <c r="P50" i="15"/>
  <c r="P51" i="15"/>
  <c r="P52" i="15"/>
  <c r="P53" i="15"/>
  <c r="P54" i="15"/>
  <c r="P55" i="15"/>
  <c r="P56" i="15"/>
  <c r="P57" i="15"/>
  <c r="P58" i="15"/>
  <c r="P59" i="15"/>
  <c r="P60" i="15"/>
  <c r="P61" i="15"/>
  <c r="P62" i="15"/>
  <c r="P63" i="15"/>
  <c r="P64" i="15"/>
  <c r="P65" i="15"/>
  <c r="P66" i="15"/>
  <c r="P67" i="15"/>
  <c r="P68" i="15"/>
  <c r="P69" i="15"/>
  <c r="P70" i="15"/>
  <c r="P71" i="15"/>
  <c r="P72" i="15"/>
  <c r="P73" i="15"/>
  <c r="P74" i="15"/>
  <c r="P75" i="15"/>
  <c r="P76" i="15"/>
  <c r="P77" i="15"/>
  <c r="P78" i="15"/>
  <c r="P79" i="15"/>
  <c r="P80" i="15"/>
  <c r="P81" i="15"/>
  <c r="P82" i="15"/>
  <c r="P83" i="15"/>
  <c r="P84" i="15"/>
  <c r="P85" i="15"/>
  <c r="P86" i="15"/>
  <c r="P87" i="15"/>
  <c r="P88" i="15"/>
  <c r="P89" i="15"/>
  <c r="P90" i="15"/>
  <c r="P91" i="15"/>
  <c r="P92" i="15"/>
  <c r="P93" i="15"/>
  <c r="P94" i="15"/>
  <c r="P95" i="15"/>
  <c r="P96" i="15"/>
  <c r="P97" i="15"/>
  <c r="P98" i="15"/>
  <c r="P99" i="15"/>
  <c r="P100" i="15"/>
  <c r="O1" i="15"/>
  <c r="O2" i="15"/>
  <c r="O3" i="15"/>
  <c r="O4" i="15"/>
  <c r="O5" i="15"/>
  <c r="O6" i="15"/>
  <c r="O7" i="15"/>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0" i="15"/>
  <c r="O91" i="15"/>
  <c r="O92" i="15"/>
  <c r="O93" i="15"/>
  <c r="O94" i="15"/>
  <c r="O95" i="15"/>
  <c r="O96" i="15"/>
  <c r="O97" i="15"/>
  <c r="O98" i="15"/>
  <c r="O99" i="15"/>
  <c r="O100" i="15"/>
  <c r="L1" i="15"/>
  <c r="L2" i="15"/>
  <c r="L3" i="15"/>
  <c r="L4" i="15"/>
  <c r="L5" i="15"/>
  <c r="L6" i="15"/>
  <c r="L7" i="15"/>
  <c r="L8" i="15"/>
  <c r="L9" i="15"/>
  <c r="L10" i="15"/>
  <c r="L11" i="15"/>
  <c r="L12" i="15"/>
  <c r="L13" i="15"/>
  <c r="L14" i="15"/>
  <c r="L15"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L56" i="15"/>
  <c r="L57" i="15"/>
  <c r="L58" i="15"/>
  <c r="L59" i="15"/>
  <c r="L60" i="15"/>
  <c r="L61" i="15"/>
  <c r="L62" i="15"/>
  <c r="L63" i="15"/>
  <c r="L64" i="15"/>
  <c r="L65" i="15"/>
  <c r="L66" i="15"/>
  <c r="L67" i="15"/>
  <c r="L68" i="15"/>
  <c r="L69" i="15"/>
  <c r="L70" i="15"/>
  <c r="L71" i="15"/>
  <c r="L72" i="15"/>
  <c r="L73" i="15"/>
  <c r="L74" i="15"/>
  <c r="L75" i="15"/>
  <c r="L76" i="15"/>
  <c r="L77" i="15"/>
  <c r="L78" i="15"/>
  <c r="L79" i="15"/>
  <c r="L80" i="15"/>
  <c r="L81" i="15"/>
  <c r="L82" i="15"/>
  <c r="L83" i="15"/>
  <c r="L84" i="15"/>
  <c r="L85" i="15"/>
  <c r="L86" i="15"/>
  <c r="L87" i="15"/>
  <c r="L88" i="15"/>
  <c r="L89" i="15"/>
  <c r="L90" i="15"/>
  <c r="L91" i="15"/>
  <c r="L92" i="15"/>
  <c r="L93" i="15"/>
  <c r="L94" i="15"/>
  <c r="L95" i="15"/>
  <c r="L96" i="15"/>
  <c r="L97" i="15"/>
  <c r="L98" i="15"/>
  <c r="L99" i="15"/>
  <c r="L100" i="15"/>
  <c r="K1" i="15"/>
  <c r="K2" i="15"/>
  <c r="K3" i="15"/>
  <c r="K4" i="15"/>
  <c r="K5" i="15"/>
  <c r="K6" i="15"/>
  <c r="K7" i="15"/>
  <c r="K8" i="15"/>
  <c r="K9" i="15"/>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97" i="15"/>
  <c r="K98" i="15"/>
  <c r="K99" i="15"/>
  <c r="K100" i="15"/>
  <c r="H1" i="15"/>
  <c r="H2" i="15"/>
  <c r="H3" i="15"/>
  <c r="H4" i="15"/>
  <c r="H5" i="15"/>
  <c r="H6" i="15"/>
  <c r="H7" i="15"/>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67" i="15"/>
  <c r="H68" i="15"/>
  <c r="H69" i="15"/>
  <c r="H70" i="15"/>
  <c r="G1" i="15"/>
  <c r="G2" i="15"/>
  <c r="G3" i="15"/>
  <c r="G4" i="15"/>
  <c r="G5" i="15"/>
  <c r="G6" i="15"/>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D1" i="15"/>
  <c r="D2" i="15"/>
  <c r="D3" i="15"/>
  <c r="D4" i="15"/>
  <c r="D5" i="15"/>
  <c r="D6" i="15"/>
  <c r="D7" i="15"/>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C1" i="15"/>
  <c r="C2" i="15"/>
  <c r="C3" i="15"/>
  <c r="C4" i="15"/>
  <c r="C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X1" i="13"/>
  <c r="X2" i="13"/>
  <c r="X3" i="13"/>
  <c r="X4" i="13"/>
  <c r="X5" i="13"/>
  <c r="X6" i="13"/>
  <c r="X7" i="13"/>
  <c r="X8" i="13"/>
  <c r="X9" i="13"/>
  <c r="X10" i="13"/>
  <c r="X11" i="13"/>
  <c r="X12" i="13"/>
  <c r="X13" i="13"/>
  <c r="X14" i="13"/>
  <c r="X15" i="13"/>
  <c r="X16" i="13"/>
  <c r="X17" i="13"/>
  <c r="X18" i="13"/>
  <c r="X19" i="13"/>
  <c r="X20" i="13"/>
  <c r="X21" i="13"/>
  <c r="X22" i="13"/>
  <c r="X23" i="13"/>
  <c r="X24" i="13"/>
  <c r="X25" i="13"/>
  <c r="X26" i="13"/>
  <c r="X27" i="13"/>
  <c r="X28" i="13"/>
  <c r="X29" i="13"/>
  <c r="X30" i="13"/>
  <c r="X31" i="13"/>
  <c r="X32" i="13"/>
  <c r="X33" i="13"/>
  <c r="X34" i="13"/>
  <c r="X35" i="13"/>
  <c r="X36" i="13"/>
  <c r="X37" i="13"/>
  <c r="X38" i="13"/>
  <c r="X39" i="13"/>
  <c r="X40" i="13"/>
  <c r="X41" i="13"/>
  <c r="X42" i="13"/>
  <c r="X43" i="13"/>
  <c r="X44" i="13"/>
  <c r="X45" i="13"/>
  <c r="X46" i="13"/>
  <c r="X47" i="13"/>
  <c r="X48" i="13"/>
  <c r="X49" i="13"/>
  <c r="X50" i="13"/>
  <c r="X51" i="13"/>
  <c r="X52" i="13"/>
  <c r="X53" i="13"/>
  <c r="X54" i="13"/>
  <c r="X55" i="13"/>
  <c r="X56" i="13"/>
  <c r="X57" i="13"/>
  <c r="X58" i="13"/>
  <c r="X59" i="13"/>
  <c r="X60" i="13"/>
  <c r="X61" i="13"/>
  <c r="X62" i="13"/>
  <c r="X63" i="13"/>
  <c r="X64" i="13"/>
  <c r="X65" i="13"/>
  <c r="X66" i="13"/>
  <c r="X67" i="13"/>
  <c r="X68" i="13"/>
  <c r="X69" i="13"/>
  <c r="X70" i="13"/>
  <c r="W1" i="13"/>
  <c r="W2" i="13"/>
  <c r="W3" i="13"/>
  <c r="W4" i="13"/>
  <c r="W5" i="13"/>
  <c r="W6" i="13"/>
  <c r="W7" i="13"/>
  <c r="W8" i="13"/>
  <c r="W9" i="13"/>
  <c r="W10" i="13"/>
  <c r="W11" i="13"/>
  <c r="W12" i="13"/>
  <c r="W13" i="13"/>
  <c r="W14" i="13"/>
  <c r="W15" i="13"/>
  <c r="W16" i="13"/>
  <c r="W17" i="13"/>
  <c r="W18" i="13"/>
  <c r="W19" i="13"/>
  <c r="W20" i="13"/>
  <c r="W21" i="13"/>
  <c r="W22" i="13"/>
  <c r="W23" i="13"/>
  <c r="W24" i="13"/>
  <c r="W25" i="13"/>
  <c r="W26" i="13"/>
  <c r="W27" i="13"/>
  <c r="W28" i="13"/>
  <c r="W29" i="13"/>
  <c r="W30" i="13"/>
  <c r="W31" i="13"/>
  <c r="W32" i="13"/>
  <c r="W33" i="13"/>
  <c r="W34" i="13"/>
  <c r="W35" i="13"/>
  <c r="W36" i="13"/>
  <c r="W37" i="13"/>
  <c r="W38" i="13"/>
  <c r="W39" i="13"/>
  <c r="W40" i="13"/>
  <c r="W41" i="13"/>
  <c r="W42" i="13"/>
  <c r="W43" i="13"/>
  <c r="W44" i="13"/>
  <c r="W45" i="13"/>
  <c r="W46" i="13"/>
  <c r="W47" i="13"/>
  <c r="W48" i="13"/>
  <c r="W49" i="13"/>
  <c r="W50" i="13"/>
  <c r="W51" i="13"/>
  <c r="W52" i="13"/>
  <c r="W53" i="13"/>
  <c r="W54" i="13"/>
  <c r="W55" i="13"/>
  <c r="W56" i="13"/>
  <c r="W57" i="13"/>
  <c r="W58" i="13"/>
  <c r="W59" i="13"/>
  <c r="W60" i="13"/>
  <c r="W61" i="13"/>
  <c r="W62" i="13"/>
  <c r="W63" i="13"/>
  <c r="W64" i="13"/>
  <c r="W65" i="13"/>
  <c r="W66" i="13"/>
  <c r="W67" i="13"/>
  <c r="W68" i="13"/>
  <c r="W69" i="13"/>
  <c r="W70" i="13"/>
  <c r="T1" i="13"/>
  <c r="T2" i="13"/>
  <c r="T3" i="13"/>
  <c r="T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51" i="13"/>
  <c r="T52" i="13"/>
  <c r="T53" i="13"/>
  <c r="T54" i="13"/>
  <c r="T55" i="13"/>
  <c r="T56" i="13"/>
  <c r="T57" i="13"/>
  <c r="T58" i="13"/>
  <c r="T59" i="13"/>
  <c r="T60" i="13"/>
  <c r="T61" i="13"/>
  <c r="T62" i="13"/>
  <c r="T63" i="13"/>
  <c r="T64" i="13"/>
  <c r="T65" i="13"/>
  <c r="T66" i="13"/>
  <c r="T67" i="13"/>
  <c r="T68" i="13"/>
  <c r="T69" i="13"/>
  <c r="T70" i="13"/>
  <c r="S1" i="13"/>
  <c r="S2" i="13"/>
  <c r="S3" i="13"/>
  <c r="S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51" i="13"/>
  <c r="S52" i="13"/>
  <c r="S53" i="13"/>
  <c r="S54" i="13"/>
  <c r="S55" i="13"/>
  <c r="S56" i="13"/>
  <c r="S57" i="13"/>
  <c r="S58" i="13"/>
  <c r="S59" i="13"/>
  <c r="S60" i="13"/>
  <c r="S61" i="13"/>
  <c r="S62" i="13"/>
  <c r="S63" i="13"/>
  <c r="S64" i="13"/>
  <c r="S65" i="13"/>
  <c r="S66" i="13"/>
  <c r="S67" i="13"/>
  <c r="S68" i="13"/>
  <c r="S69" i="13"/>
  <c r="S70" i="13"/>
  <c r="P1" i="13"/>
  <c r="P2" i="13"/>
  <c r="P3" i="13"/>
  <c r="P4" i="13"/>
  <c r="P5" i="13"/>
  <c r="P6" i="13"/>
  <c r="P7" i="13"/>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P84" i="13"/>
  <c r="P85" i="13"/>
  <c r="P86" i="13"/>
  <c r="P87" i="13"/>
  <c r="P88" i="13"/>
  <c r="P89" i="13"/>
  <c r="P90" i="13"/>
  <c r="P91" i="13"/>
  <c r="P92" i="13"/>
  <c r="P93" i="13"/>
  <c r="P94" i="13"/>
  <c r="P95" i="13"/>
  <c r="P96" i="13"/>
  <c r="P97" i="13"/>
  <c r="P98" i="13"/>
  <c r="P99" i="13"/>
  <c r="P100" i="13"/>
  <c r="O1" i="13"/>
  <c r="O2" i="13"/>
  <c r="O3" i="13"/>
  <c r="O4" i="13"/>
  <c r="O5" i="13"/>
  <c r="O6" i="13"/>
  <c r="O7" i="13"/>
  <c r="O8" i="13"/>
  <c r="O9" i="13"/>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O59" i="13"/>
  <c r="O60" i="13"/>
  <c r="O61" i="13"/>
  <c r="O62" i="13"/>
  <c r="O63" i="13"/>
  <c r="O64" i="13"/>
  <c r="O65" i="13"/>
  <c r="O66" i="13"/>
  <c r="O67" i="13"/>
  <c r="O68" i="13"/>
  <c r="O69" i="13"/>
  <c r="O70" i="13"/>
  <c r="O71" i="13"/>
  <c r="O72" i="13"/>
  <c r="O73" i="13"/>
  <c r="O74" i="13"/>
  <c r="O75" i="13"/>
  <c r="O76" i="13"/>
  <c r="O77" i="13"/>
  <c r="O78" i="13"/>
  <c r="O79" i="13"/>
  <c r="O80" i="13"/>
  <c r="O81" i="13"/>
  <c r="O82" i="13"/>
  <c r="O83" i="13"/>
  <c r="O84" i="13"/>
  <c r="O85" i="13"/>
  <c r="O86" i="13"/>
  <c r="O87" i="13"/>
  <c r="O88" i="13"/>
  <c r="O89" i="13"/>
  <c r="O90" i="13"/>
  <c r="O91" i="13"/>
  <c r="O92" i="13"/>
  <c r="O93" i="13"/>
  <c r="O94" i="13"/>
  <c r="O95" i="13"/>
  <c r="O96" i="13"/>
  <c r="O97" i="13"/>
  <c r="O98" i="13"/>
  <c r="O99" i="13"/>
  <c r="O100" i="13"/>
  <c r="L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K1" i="13"/>
  <c r="K2" i="13"/>
  <c r="K3" i="13"/>
  <c r="K4" i="13"/>
  <c r="K5" i="13"/>
  <c r="K6"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K70" i="13"/>
  <c r="K71" i="13"/>
  <c r="K72" i="13"/>
  <c r="K73" i="13"/>
  <c r="K74" i="13"/>
  <c r="K75" i="13"/>
  <c r="K76" i="13"/>
  <c r="K77" i="13"/>
  <c r="K78" i="13"/>
  <c r="K79" i="13"/>
  <c r="K80" i="13"/>
  <c r="K81" i="13"/>
  <c r="K82" i="13"/>
  <c r="K83" i="13"/>
  <c r="K84" i="13"/>
  <c r="K85" i="13"/>
  <c r="K86" i="13"/>
  <c r="K87" i="13"/>
  <c r="K88" i="13"/>
  <c r="K89" i="13"/>
  <c r="K90" i="13"/>
  <c r="K91" i="13"/>
  <c r="K92" i="13"/>
  <c r="K93" i="13"/>
  <c r="K94" i="13"/>
  <c r="K95" i="13"/>
  <c r="K96" i="13"/>
  <c r="K97" i="13"/>
  <c r="K98" i="13"/>
  <c r="K99" i="13"/>
  <c r="K100" i="13"/>
  <c r="H1" i="13"/>
  <c r="H2" i="13"/>
  <c r="H3" i="13"/>
  <c r="H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G1" i="13"/>
  <c r="G2" i="13"/>
  <c r="G3" i="13"/>
  <c r="G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D1" i="13"/>
  <c r="D2" i="13"/>
  <c r="D3" i="13"/>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C1" i="13"/>
  <c r="C2" i="13"/>
  <c r="C3" i="13"/>
  <c r="C4"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M240" i="1" l="1"/>
  <c r="N246" i="1"/>
  <c r="N245" i="1"/>
  <c r="N248" i="1" s="1"/>
  <c r="M255" i="1" s="1"/>
  <c r="H246" i="1"/>
  <c r="H245" i="1"/>
  <c r="H248" i="1" l="1"/>
  <c r="G255" i="1" s="1"/>
  <c r="M254" i="1"/>
  <c r="M253" i="1"/>
  <c r="G254" i="1" l="1"/>
  <c r="G253" i="1"/>
  <c r="G22" i="2"/>
  <c r="F22" i="2"/>
  <c r="G21" i="2"/>
  <c r="F21" i="2"/>
  <c r="F20" i="2"/>
  <c r="G19" i="2"/>
  <c r="F19" i="2"/>
  <c r="G18" i="2"/>
  <c r="F18" i="2"/>
  <c r="G17" i="2"/>
  <c r="F17" i="2"/>
  <c r="G16" i="2"/>
  <c r="F16" i="2"/>
  <c r="G15" i="2"/>
  <c r="F15" i="2"/>
  <c r="F14" i="2"/>
  <c r="F13" i="2"/>
  <c r="F12" i="2"/>
  <c r="G11" i="2"/>
  <c r="F11" i="2"/>
  <c r="G10" i="2"/>
  <c r="F10" i="2"/>
  <c r="G8" i="2"/>
  <c r="G7" i="2"/>
  <c r="F9" i="2"/>
  <c r="F8" i="2"/>
  <c r="F7" i="2"/>
  <c r="F6" i="2"/>
  <c r="F5" i="2"/>
  <c r="C50" i="3" l="1"/>
  <c r="C55" i="3"/>
  <c r="C53" i="3"/>
  <c r="C196" i="3"/>
  <c r="C54" i="3"/>
  <c r="C195" i="3"/>
  <c r="C194" i="3"/>
  <c r="C193" i="3"/>
  <c r="C192" i="3"/>
  <c r="C191" i="3"/>
  <c r="C52" i="3"/>
  <c r="C51" i="3"/>
  <c r="C371" i="3"/>
  <c r="H204" i="3"/>
  <c r="K204" i="3" s="1"/>
  <c r="H69" i="3"/>
  <c r="I69" i="3" s="1"/>
  <c r="H193" i="3"/>
  <c r="I193" i="3" s="1"/>
  <c r="C370" i="3"/>
  <c r="C366" i="3"/>
  <c r="H348" i="3"/>
  <c r="I348" i="3" s="1"/>
  <c r="C367" i="3"/>
  <c r="H192" i="3"/>
  <c r="I192" i="3" s="1"/>
  <c r="H208" i="3"/>
  <c r="I208" i="3" s="1"/>
  <c r="H332" i="3"/>
  <c r="I332" i="3" s="1"/>
  <c r="H336" i="3"/>
  <c r="I336" i="3" s="1"/>
  <c r="H350" i="3"/>
  <c r="I350" i="3" s="1"/>
  <c r="H51" i="3"/>
  <c r="I51" i="3" s="1"/>
  <c r="H55" i="3"/>
  <c r="H191" i="3"/>
  <c r="C368" i="3"/>
  <c r="H194" i="3"/>
  <c r="H209" i="3"/>
  <c r="I209" i="3" s="1"/>
  <c r="H351" i="3"/>
  <c r="I351" i="3" s="1"/>
  <c r="H58" i="3"/>
  <c r="I58" i="3" s="1"/>
  <c r="H207" i="3"/>
  <c r="I207" i="3" s="1"/>
  <c r="H349" i="3"/>
  <c r="I349" i="3" s="1"/>
  <c r="C369" i="3"/>
  <c r="H195" i="3"/>
  <c r="I195" i="3" s="1"/>
  <c r="H210" i="3"/>
  <c r="I210" i="3" s="1"/>
  <c r="H333" i="3"/>
  <c r="I333" i="3" s="1"/>
  <c r="H337" i="3"/>
  <c r="H52" i="3"/>
  <c r="I52" i="3" s="1"/>
  <c r="H62" i="3"/>
  <c r="H196" i="3"/>
  <c r="H340" i="3"/>
  <c r="H63" i="3"/>
  <c r="K63" i="3" s="1"/>
  <c r="H334" i="3"/>
  <c r="I334" i="3" s="1"/>
  <c r="H344" i="3"/>
  <c r="H53" i="3"/>
  <c r="H66" i="3"/>
  <c r="I66" i="3" s="1"/>
  <c r="H199" i="3"/>
  <c r="I199" i="3" s="1"/>
  <c r="H203" i="3"/>
  <c r="H345" i="3"/>
  <c r="K345" i="3" s="1"/>
  <c r="H67" i="3"/>
  <c r="I67" i="3" s="1"/>
  <c r="H335" i="3"/>
  <c r="H50" i="3"/>
  <c r="I50" i="3" s="1"/>
  <c r="H54" i="3"/>
  <c r="I54" i="3" s="1"/>
  <c r="H68" i="3"/>
  <c r="I68" i="3" s="1"/>
  <c r="M165" i="1"/>
  <c r="M136" i="1"/>
  <c r="M109" i="1"/>
  <c r="M67" i="1"/>
  <c r="H355" i="3" l="1"/>
  <c r="I355" i="3" s="1"/>
  <c r="H200" i="3"/>
  <c r="I200" i="3" s="1"/>
  <c r="C199" i="3"/>
  <c r="C201" i="3" s="1"/>
  <c r="B245" i="1"/>
  <c r="H212" i="3"/>
  <c r="H213" i="3" s="1"/>
  <c r="M213" i="3" s="1"/>
  <c r="H353" i="3"/>
  <c r="H354" i="3" s="1"/>
  <c r="K354" i="3" s="1"/>
  <c r="H71" i="3"/>
  <c r="I71" i="3" s="1"/>
  <c r="I335" i="3"/>
  <c r="H339" i="3"/>
  <c r="I339" i="3" s="1"/>
  <c r="C58" i="3"/>
  <c r="C60" i="3" s="1"/>
  <c r="H73" i="3"/>
  <c r="I73" i="3" s="1"/>
  <c r="H59" i="3"/>
  <c r="C340" i="3"/>
  <c r="C342" i="3" s="1"/>
  <c r="H198" i="3"/>
  <c r="I198" i="3" s="1"/>
  <c r="I194" i="3"/>
  <c r="K60" i="3"/>
  <c r="K61" i="3" s="1"/>
  <c r="H201" i="3"/>
  <c r="K201" i="3" s="1"/>
  <c r="K202" i="3" s="1"/>
  <c r="I191" i="3"/>
  <c r="H341" i="3"/>
  <c r="I341" i="3" s="1"/>
  <c r="H214" i="3"/>
  <c r="I214" i="3" s="1"/>
  <c r="I340" i="3"/>
  <c r="H57" i="3"/>
  <c r="I57" i="3" s="1"/>
  <c r="I53" i="3"/>
  <c r="H342" i="3"/>
  <c r="K342" i="3" s="1"/>
  <c r="K343" i="3" s="1"/>
  <c r="H356" i="3"/>
  <c r="M356" i="3" s="1"/>
  <c r="H205" i="3"/>
  <c r="S205" i="3" s="1"/>
  <c r="C438" i="3"/>
  <c r="B288" i="3"/>
  <c r="B429" i="3" s="1"/>
  <c r="B147" i="3" s="1"/>
  <c r="B220" i="3"/>
  <c r="B361" i="3" s="1"/>
  <c r="B79" i="3" s="1"/>
  <c r="B254" i="3"/>
  <c r="B395" i="3" s="1"/>
  <c r="B113" i="3" s="1"/>
  <c r="H215" i="3" l="1"/>
  <c r="L215" i="3" s="1"/>
  <c r="G240" i="1"/>
  <c r="A240" i="1"/>
  <c r="I212" i="3"/>
  <c r="H346" i="3"/>
  <c r="Q346" i="3" s="1"/>
  <c r="I353" i="3"/>
  <c r="H74" i="3"/>
  <c r="L74" i="3" s="1"/>
  <c r="H72" i="3"/>
  <c r="L72" i="3" s="1"/>
  <c r="M354" i="3"/>
  <c r="Q205" i="3"/>
  <c r="C152" i="3"/>
  <c r="C156" i="3"/>
  <c r="K165" i="3"/>
  <c r="C155" i="3"/>
  <c r="C153" i="3"/>
  <c r="C154" i="3"/>
  <c r="C158" i="3"/>
  <c r="C157" i="3"/>
  <c r="I59" i="3"/>
  <c r="H64" i="3"/>
  <c r="H96" i="3"/>
  <c r="H86" i="3"/>
  <c r="H92" i="3"/>
  <c r="C86" i="3"/>
  <c r="C230" i="3"/>
  <c r="H227" i="3"/>
  <c r="H89" i="3"/>
  <c r="H85" i="3"/>
  <c r="C229" i="3"/>
  <c r="H103" i="3"/>
  <c r="C89" i="3"/>
  <c r="C85" i="3"/>
  <c r="C228" i="3"/>
  <c r="H100" i="3"/>
  <c r="C87" i="3"/>
  <c r="H102" i="3"/>
  <c r="H88" i="3"/>
  <c r="C227" i="3"/>
  <c r="H87" i="3"/>
  <c r="H101" i="3"/>
  <c r="C88" i="3"/>
  <c r="C84" i="3"/>
  <c r="C226" i="3"/>
  <c r="C225" i="3"/>
  <c r="H97" i="3"/>
  <c r="K97" i="3" s="1"/>
  <c r="K356" i="3"/>
  <c r="L356" i="3"/>
  <c r="L354" i="3"/>
  <c r="L213" i="3"/>
  <c r="K213" i="3"/>
  <c r="A165" i="1"/>
  <c r="G165" i="1"/>
  <c r="C293" i="3"/>
  <c r="C401" i="3"/>
  <c r="H384" i="3"/>
  <c r="A67" i="1"/>
  <c r="A136" i="1"/>
  <c r="A109" i="1"/>
  <c r="G136" i="1"/>
  <c r="G109" i="1"/>
  <c r="G67" i="1"/>
  <c r="H238" i="3"/>
  <c r="K238" i="3" s="1"/>
  <c r="C294" i="3"/>
  <c r="H241" i="3"/>
  <c r="C400" i="3"/>
  <c r="C437" i="3"/>
  <c r="H371" i="3"/>
  <c r="H385" i="3"/>
  <c r="C295" i="3"/>
  <c r="H225" i="3"/>
  <c r="H229" i="3"/>
  <c r="H242" i="3"/>
  <c r="C405" i="3"/>
  <c r="K447" i="3"/>
  <c r="H367" i="3"/>
  <c r="H374" i="3"/>
  <c r="H375" i="3" s="1"/>
  <c r="C297" i="3"/>
  <c r="H226" i="3"/>
  <c r="H230" i="3"/>
  <c r="H244" i="3"/>
  <c r="C406" i="3"/>
  <c r="C434" i="3"/>
  <c r="H378" i="3"/>
  <c r="H368" i="3"/>
  <c r="C298" i="3"/>
  <c r="C402" i="3"/>
  <c r="C439" i="3"/>
  <c r="H369" i="3"/>
  <c r="H379" i="3"/>
  <c r="K379" i="3" s="1"/>
  <c r="K306" i="3"/>
  <c r="C299" i="3"/>
  <c r="H233" i="3"/>
  <c r="H234" i="3" s="1"/>
  <c r="C403" i="3"/>
  <c r="C435" i="3"/>
  <c r="H382" i="3"/>
  <c r="H237" i="3"/>
  <c r="K413" i="3"/>
  <c r="C440" i="3"/>
  <c r="H370" i="3"/>
  <c r="H383" i="3"/>
  <c r="C296" i="3"/>
  <c r="H243" i="3"/>
  <c r="H228" i="3"/>
  <c r="C404" i="3"/>
  <c r="C436" i="3"/>
  <c r="H366" i="3"/>
  <c r="M215" i="3" l="1"/>
  <c r="K215" i="3"/>
  <c r="M74" i="3"/>
  <c r="S346" i="3"/>
  <c r="M72" i="3"/>
  <c r="K72" i="3"/>
  <c r="H91" i="3"/>
  <c r="K74" i="3"/>
  <c r="L174" i="3"/>
  <c r="L176" i="3"/>
  <c r="C92" i="3"/>
  <c r="C94" i="3" s="1"/>
  <c r="C160" i="3"/>
  <c r="C162" i="3" s="1"/>
  <c r="H107" i="3"/>
  <c r="H108" i="3" s="1"/>
  <c r="L108" i="3" s="1"/>
  <c r="H105" i="3"/>
  <c r="H106" i="3" s="1"/>
  <c r="L106" i="3" s="1"/>
  <c r="H93" i="3"/>
  <c r="H98" i="3" s="1"/>
  <c r="Q98" i="3" s="1"/>
  <c r="S166" i="3"/>
  <c r="H94" i="3"/>
  <c r="K94" i="3" s="1"/>
  <c r="K95" i="3" s="1"/>
  <c r="K162" i="3"/>
  <c r="K163" i="3" s="1"/>
  <c r="Q64" i="3"/>
  <c r="S64" i="3"/>
  <c r="K303" i="3"/>
  <c r="K304" i="3" s="1"/>
  <c r="K458" i="3"/>
  <c r="S448" i="3"/>
  <c r="K422" i="3"/>
  <c r="H376" i="3"/>
  <c r="K376" i="3" s="1"/>
  <c r="K377" i="3" s="1"/>
  <c r="H232" i="3"/>
  <c r="C233" i="3"/>
  <c r="C235" i="3" s="1"/>
  <c r="H380" i="3"/>
  <c r="S380" i="3" s="1"/>
  <c r="M315" i="3"/>
  <c r="K444" i="3"/>
  <c r="K445" i="3" s="1"/>
  <c r="H389" i="3"/>
  <c r="H390" i="3" s="1"/>
  <c r="L390" i="3" s="1"/>
  <c r="L456" i="3"/>
  <c r="C301" i="3"/>
  <c r="C303" i="3" s="1"/>
  <c r="C374" i="3"/>
  <c r="C376" i="3" s="1"/>
  <c r="L317" i="3"/>
  <c r="H387" i="3"/>
  <c r="H388" i="3" s="1"/>
  <c r="L388" i="3" s="1"/>
  <c r="H248" i="3"/>
  <c r="H249" i="3" s="1"/>
  <c r="M249" i="3" s="1"/>
  <c r="H235" i="3"/>
  <c r="K235" i="3" s="1"/>
  <c r="K236" i="3" s="1"/>
  <c r="C408" i="3"/>
  <c r="C410" i="3" s="1"/>
  <c r="H239" i="3"/>
  <c r="S414" i="3"/>
  <c r="M424" i="3"/>
  <c r="K410" i="3"/>
  <c r="K411" i="3" s="1"/>
  <c r="Q307" i="3"/>
  <c r="C442" i="3"/>
  <c r="C444" i="3" s="1"/>
  <c r="H373" i="3"/>
  <c r="H246" i="3"/>
  <c r="H247" i="3" s="1"/>
  <c r="M458" i="3" l="1"/>
  <c r="Q166" i="3"/>
  <c r="S98" i="3"/>
  <c r="L458" i="3"/>
  <c r="K174" i="3"/>
  <c r="M108" i="3"/>
  <c r="K176" i="3"/>
  <c r="K108" i="3"/>
  <c r="M106" i="3"/>
  <c r="M176" i="3"/>
  <c r="M174" i="3"/>
  <c r="Q448" i="3"/>
  <c r="K106" i="3"/>
  <c r="M422" i="3"/>
  <c r="Q380" i="3"/>
  <c r="L422" i="3"/>
  <c r="L315" i="3"/>
  <c r="K315" i="3"/>
  <c r="M317" i="3"/>
  <c r="K317" i="3"/>
  <c r="M456" i="3"/>
  <c r="K456" i="3"/>
  <c r="L249" i="3"/>
  <c r="M390" i="3"/>
  <c r="K249" i="3"/>
  <c r="K390" i="3"/>
  <c r="M388" i="3"/>
  <c r="K388" i="3"/>
  <c r="L247" i="3"/>
  <c r="M247" i="3"/>
  <c r="K424" i="3"/>
  <c r="S307" i="3"/>
  <c r="L424" i="3"/>
  <c r="K247" i="3"/>
  <c r="Q414" i="3"/>
  <c r="Q239" i="3"/>
  <c r="S239" i="3"/>
  <c r="S47" i="2"/>
  <c r="O47" i="2"/>
  <c r="E47" i="2"/>
  <c r="F44" i="2"/>
  <c r="F43" i="2"/>
  <c r="F42" i="2"/>
  <c r="F41" i="2"/>
  <c r="F40" i="2"/>
  <c r="F39" i="2"/>
  <c r="F38" i="2"/>
  <c r="F37" i="2"/>
  <c r="F36" i="2"/>
  <c r="F35" i="2"/>
  <c r="F34" i="2"/>
  <c r="F33" i="2"/>
  <c r="F32" i="2"/>
  <c r="C124" i="3" l="1"/>
  <c r="C119" i="3"/>
  <c r="C259" i="3"/>
  <c r="C123" i="3"/>
  <c r="C122" i="3"/>
  <c r="C121" i="3"/>
  <c r="C120" i="3"/>
  <c r="K131" i="3"/>
  <c r="C265" i="3"/>
  <c r="C264" i="3"/>
  <c r="C263" i="3"/>
  <c r="K272" i="3"/>
  <c r="C262" i="3"/>
  <c r="C261" i="3"/>
  <c r="C260" i="3"/>
  <c r="S132" i="3" l="1"/>
  <c r="M140" i="3"/>
  <c r="C126" i="3"/>
  <c r="C128" i="3" s="1"/>
  <c r="K128" i="3"/>
  <c r="K129" i="3" s="1"/>
  <c r="S273" i="3"/>
  <c r="C267" i="3"/>
  <c r="C269" i="3" s="1"/>
  <c r="K269" i="3"/>
  <c r="K270" i="3" s="1"/>
  <c r="Q132" i="3" l="1"/>
  <c r="M142" i="3"/>
  <c r="L142" i="3"/>
  <c r="K142" i="3"/>
  <c r="K140" i="3"/>
  <c r="L140" i="3"/>
  <c r="Q273" i="3"/>
  <c r="M281" i="3"/>
  <c r="K281" i="3"/>
  <c r="L281" i="3"/>
  <c r="L283" i="3"/>
  <c r="M283" i="3"/>
  <c r="K283" i="3"/>
  <c r="B246" i="1" l="1"/>
  <c r="B248" i="1" l="1"/>
  <c r="A255" i="1" s="1"/>
  <c r="A254" i="1" l="1"/>
  <c r="A2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tc={15A69529-44D0-4C04-A4AA-79620789979C}</author>
  </authors>
  <commentList>
    <comment ref="T9" authorId="0" shapeId="0" xr:uid="{15A69529-44D0-4C04-A4AA-79620789979C}">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 Changer les colonnes (G) et (U) pour que ça se suive : G _ G _ U _ U
- Changer la couleur verte pour les « nés à terme » 
- Faire des colonnes de latéralité pied - main 
</t>
      </text>
    </comment>
  </commentList>
</comments>
</file>

<file path=xl/sharedStrings.xml><?xml version="1.0" encoding="utf-8"?>
<sst xmlns="http://schemas.openxmlformats.org/spreadsheetml/2006/main" count="954" uniqueCount="286">
  <si>
    <t xml:space="preserve">            VD= variable dépendante = scores</t>
  </si>
  <si>
    <t>Participants</t>
  </si>
  <si>
    <t>Déroulé</t>
  </si>
  <si>
    <t>1.</t>
  </si>
  <si>
    <t>Analyser à vue les données pour repérer d'éventuelles données aberrantes ou manquantes</t>
  </si>
  <si>
    <t>2.</t>
  </si>
  <si>
    <t>Définir la nature de nos variables</t>
  </si>
  <si>
    <t>VD = Variable dépendante</t>
  </si>
  <si>
    <t>3.</t>
  </si>
  <si>
    <t>Faire des analyses descriptives et vérifier les paramètres de la distribution</t>
  </si>
  <si>
    <t>Variable quantitative: Calculer la moyenne, la variance, l'écart-type,….</t>
  </si>
  <si>
    <t>Repérer les valeurs extrêmes, la forme de la distribution, évaluer la normalité de la distribution</t>
  </si>
  <si>
    <t>4.</t>
  </si>
  <si>
    <t>Définir la nature du  test de comparaison  à utiliser</t>
  </si>
  <si>
    <t>test paramétrique = t-test ou test de Student</t>
  </si>
  <si>
    <t>test non-paramétrique = test U de Mann Withney      aller au point 7</t>
  </si>
  <si>
    <t>5.</t>
  </si>
  <si>
    <t>Définir le test de comparaison des moyennes (ou espérances) à utiliser</t>
  </si>
  <si>
    <t>Un-paired = 2 groupes dont chacun est testé sous une condition</t>
  </si>
  <si>
    <t>6.</t>
  </si>
  <si>
    <t>Si 2 groupes différents, définir la variance de chaque groupe</t>
  </si>
  <si>
    <t>Test F de Fischer</t>
  </si>
  <si>
    <t>7.</t>
  </si>
  <si>
    <t>Effectuer le test</t>
  </si>
  <si>
    <t>Si la valeur P de F est non-significative: test d'égalité des espérances:  deux observations de variances égales</t>
  </si>
  <si>
    <t>Si la valeur P de F est significative: test d'égalité des espérances:  deux observations de variances différentes</t>
  </si>
  <si>
    <t xml:space="preserve">3. Analyses descriptives </t>
  </si>
  <si>
    <t>Moyenne</t>
  </si>
  <si>
    <t>Médiane</t>
  </si>
  <si>
    <t>Mode</t>
  </si>
  <si>
    <t>Analyses inférentielles</t>
  </si>
  <si>
    <t>Nos Hypothèses</t>
  </si>
  <si>
    <t xml:space="preserve">H0 = Hypothèse nulle </t>
  </si>
  <si>
    <t xml:space="preserve">les moyennes des 2 conditions sont identiques. </t>
  </si>
  <si>
    <t>H1 = hyp alternative</t>
  </si>
  <si>
    <t>H1= les moyennes des 2 conditions sont différentes</t>
  </si>
  <si>
    <t>La variable est quantitative</t>
  </si>
  <si>
    <t>Les deux distributions sont normales</t>
  </si>
  <si>
    <t>Degrés de liberté (ddl)</t>
  </si>
  <si>
    <t>Valeur de P (significativité si &lt;0,05)</t>
  </si>
  <si>
    <t>Test de Student                                      Test paramétrique</t>
  </si>
  <si>
    <t>Check de la variance</t>
  </si>
  <si>
    <t>H0 = les deux groupes ont une variance égale</t>
  </si>
  <si>
    <t>H1 = les deux groupes ont des vaiances différentes</t>
  </si>
  <si>
    <t>Test d'égalité des variances (F-Test)</t>
  </si>
  <si>
    <t>Variance</t>
  </si>
  <si>
    <t>donne une idée de l'écart entre les deux variances ou dispersions des deux groupes</t>
  </si>
  <si>
    <t>seuil de significativité ou le risque d'accepter que ces deux groupes ont une variance égale alors qu'en fait elles sont différentes</t>
  </si>
  <si>
    <t>si P &lt;0,05 alors on peut rejeter H0</t>
  </si>
  <si>
    <t>ici c'est non significatif, donc on garde H=0, les variances sont égales</t>
  </si>
  <si>
    <t>Ce résultat nous permet de choisir quel t-test nous allons prendre</t>
  </si>
  <si>
    <t>comme valeur P de F est non-significative: test d'égalité des espérances:  deux observations de variances égales</t>
  </si>
  <si>
    <t>T-test ou Test de Student</t>
  </si>
  <si>
    <t>Test d'égalité des espérances: deux observations de variances égales</t>
  </si>
  <si>
    <t>Valeur critique de t (bilatéral)</t>
  </si>
  <si>
    <t>Attention</t>
  </si>
  <si>
    <t>Le test de Student vous dit si les deux groupes ont des performances semblables ou différentes d'un point de vue statistique</t>
  </si>
  <si>
    <t>Il ne vous dit pas qu'est-ce qu'il en est au niveau de la différence des moyennes (si elle est petite ou importante)</t>
  </si>
  <si>
    <t xml:space="preserve">Ici, le test est fortement significatif. Il parle dont de la possibilité de généraliser à l'ensemble de la population qui ici est forte </t>
  </si>
  <si>
    <t>Ici, il serait  faut de conclure que la différence entre les moyennes est importante</t>
  </si>
  <si>
    <t>Il vous faut vous rappeler qu'une différence entre les moyennes qui est petite peut être fortement significative alors qu'une différence importante peut être au contraire peu significative</t>
  </si>
  <si>
    <t>Test de comparaison des performances de deux populations pour</t>
  </si>
  <si>
    <t>des variables qualitatives ordonnées</t>
  </si>
  <si>
    <t>des variables quantitatives dont la distribution ne suit pas une courbe normale</t>
  </si>
  <si>
    <t>toute variable quantitative dont vous aimeriez vérifier la robusteste d'un test paramétrique</t>
  </si>
  <si>
    <t>Ici on ne travaille pas sur des distances (paramétrique) mais sur des différences dans l'ordre des données, soit les rangs</t>
  </si>
  <si>
    <t>A noter qu'Excel ne calcule pas les tests non-paramétrique. Je vous ai donc détaillé la formule puis je les inscrite dans une cellule cible</t>
  </si>
  <si>
    <t xml:space="preserve">Les hypothèses du test U de Mann-Whitney sont très similaires aux hypothèses du test t indépendant. La différence, cependant, est que dans le cas du test U de Mann-Whitney, le test est basé sur une différence dans la tendance centrale (soit la médiane), alors que dans le cas du test t, le test est basé sur une différence dans les valeurs moyennes. </t>
  </si>
  <si>
    <t>Il n'y a pas de différence des médianes entre les deux groupes de la population</t>
  </si>
  <si>
    <t>Il existe une différence par rapport aux médianes  entre les deux groupes de la population</t>
  </si>
  <si>
    <t>Formules:</t>
  </si>
  <si>
    <t>n1</t>
  </si>
  <si>
    <t>effectif du 1er groupe</t>
  </si>
  <si>
    <t>n2</t>
  </si>
  <si>
    <t>effectif du 2ème groupe</t>
  </si>
  <si>
    <t>R1</t>
  </si>
  <si>
    <t>somme des rangs pour 1er groupe</t>
  </si>
  <si>
    <t>R2</t>
  </si>
  <si>
    <t>somme des rangs du 2ème groupe</t>
  </si>
  <si>
    <t xml:space="preserve">U1 </t>
  </si>
  <si>
    <t>U2</t>
  </si>
  <si>
    <t>U test</t>
  </si>
  <si>
    <t>U ici est la valeur min entre U1 et U2</t>
  </si>
  <si>
    <t>U critic</t>
  </si>
  <si>
    <t>Calculée ou donnée par le tableau</t>
  </si>
  <si>
    <t>Selon la taille de l'échantillon, la valeur p pour le test U de Mann-Whitney est calculée de manière différente. Pour un maximum de 25 cas, on utilise les valeurs exactes, qui peuvent être lues dans un tableau. Pour des échantillons plus importants, la distribution normale peut être utilisée comme une approximation. Ainsi, dans notre exemple, on peut prendre la valeur exacte</t>
  </si>
  <si>
    <t>https://www.socscistatistics.com/tests/mannwhitney</t>
  </si>
  <si>
    <t>Test de Mann-Whitney</t>
  </si>
  <si>
    <t>Test : Mann-Whitney U test                                                       Test non-paramétrique</t>
  </si>
  <si>
    <t>Paired = 1 groupe dont les participants sont testés sur 2 conditions   (appariés)</t>
  </si>
  <si>
    <t>Un-paired = 2 groupes dont chacun est testé sous une condition     (indépendants)</t>
  </si>
  <si>
    <t>Scores d'attention</t>
  </si>
  <si>
    <t>Score d'équilibre</t>
  </si>
  <si>
    <t>Date de naissance</t>
  </si>
  <si>
    <t>Sujets</t>
  </si>
  <si>
    <t>Date du Test</t>
  </si>
  <si>
    <t>Age</t>
  </si>
  <si>
    <t>Préma ou nés à terme</t>
  </si>
  <si>
    <t>Scolarité</t>
  </si>
  <si>
    <t>Classe fréquentée</t>
  </si>
  <si>
    <t>Main dominante</t>
  </si>
  <si>
    <t>Pied dominant</t>
  </si>
  <si>
    <t xml:space="preserve">Score d'attention sélective (G) </t>
  </si>
  <si>
    <t xml:space="preserve">Score d'attention sélective (G) en % cumulés </t>
  </si>
  <si>
    <t xml:space="preserve">Score d'attention sélective (U) </t>
  </si>
  <si>
    <t>Score d'attention sélective (U) en % cumulés</t>
  </si>
  <si>
    <t>Conversion de la note de composante "Equilibre" en note standard</t>
  </si>
  <si>
    <t xml:space="preserve">Conversion de la note standard en percentile  </t>
  </si>
  <si>
    <t>Sujet 1</t>
  </si>
  <si>
    <t>t</t>
  </si>
  <si>
    <t>France</t>
  </si>
  <si>
    <t>G</t>
  </si>
  <si>
    <t>Sujet 2</t>
  </si>
  <si>
    <t>D</t>
  </si>
  <si>
    <t>Sujet 3</t>
  </si>
  <si>
    <t>Sujet 4</t>
  </si>
  <si>
    <t>Sujet 5</t>
  </si>
  <si>
    <t xml:space="preserve">France </t>
  </si>
  <si>
    <t>Sujet 6</t>
  </si>
  <si>
    <t>p</t>
  </si>
  <si>
    <t>Sujet 7</t>
  </si>
  <si>
    <t>Sujet 8</t>
  </si>
  <si>
    <t>Sujet 9</t>
  </si>
  <si>
    <t>Sujet 10</t>
  </si>
  <si>
    <t>Sujet 11</t>
  </si>
  <si>
    <t>Sujet 12</t>
  </si>
  <si>
    <t>Sujet 13</t>
  </si>
  <si>
    <t>Sujet 14</t>
  </si>
  <si>
    <t>Sujet 15</t>
  </si>
  <si>
    <t>Sujet 16</t>
  </si>
  <si>
    <t>Sujet 17</t>
  </si>
  <si>
    <t>Sujet 18</t>
  </si>
  <si>
    <t>Sujet 19</t>
  </si>
  <si>
    <t>Sujet 20</t>
  </si>
  <si>
    <t>Nombre de sujet</t>
  </si>
  <si>
    <t>moyenne générale</t>
  </si>
  <si>
    <t>Très faibée</t>
  </si>
  <si>
    <t>0.13%</t>
  </si>
  <si>
    <t>2.14%</t>
  </si>
  <si>
    <t>Faible</t>
  </si>
  <si>
    <t>2.15%</t>
  </si>
  <si>
    <t>13.6%</t>
  </si>
  <si>
    <t xml:space="preserve">Comparaison des performances au niveau des deux groupes d'enfants (nés à terme ou préma) </t>
  </si>
  <si>
    <t xml:space="preserve">Comparaison de deux groupes différents </t>
  </si>
  <si>
    <t>soit 2 groupes différents (suivant naissance à terme ou prématurée)</t>
  </si>
  <si>
    <t xml:space="preserve">Mesure attention et SC </t>
  </si>
  <si>
    <t>Mesures = score ou temps</t>
  </si>
  <si>
    <t>Donc VI = Variable Indépendante = type de naissance (à terme ou préma)</t>
  </si>
  <si>
    <t>Condition 1 = Naissance à terme</t>
  </si>
  <si>
    <t>Condition 2 = Naissance prématurée</t>
  </si>
  <si>
    <t>Type de la variable</t>
  </si>
  <si>
    <t>quantitative et discrète</t>
  </si>
  <si>
    <t>Analyses descriptives</t>
  </si>
  <si>
    <t>Tendance centrale</t>
  </si>
  <si>
    <t>Min</t>
  </si>
  <si>
    <t>Max</t>
  </si>
  <si>
    <t>Effectif</t>
  </si>
  <si>
    <t>Indices de dispersion</t>
  </si>
  <si>
    <t>Etendue</t>
  </si>
  <si>
    <t>Total</t>
  </si>
  <si>
    <t>Ecart-type</t>
  </si>
  <si>
    <t>Check</t>
  </si>
  <si>
    <t>Coefficient de variance</t>
  </si>
  <si>
    <t xml:space="preserve"> % de la part de la moyenne est expliqué par l'écart-type soit la distribution des données </t>
  </si>
  <si>
    <t>Ici vous avez une formule de contrôle                  Si la somme des étudiants par tranches d'âges  n'est pas = au nombre d'étudiants de votre échantillon , vous avez une alerte "Check" qui s'écrit</t>
  </si>
  <si>
    <t>Forme de la distribution</t>
  </si>
  <si>
    <t>Coeff. d'aplatissement (Kurtosis)</t>
  </si>
  <si>
    <t>Coeff. d'asymétrie</t>
  </si>
  <si>
    <t>Erreur-type de la moyenne</t>
  </si>
  <si>
    <t xml:space="preserve">La moyenne réelle de toute la population se trouve selon un intervalle de confiance de 95% entre </t>
  </si>
  <si>
    <t>et</t>
  </si>
  <si>
    <t>Répartition par quartier (25%)</t>
  </si>
  <si>
    <t>1er quartile</t>
  </si>
  <si>
    <t>2ème quartile</t>
  </si>
  <si>
    <t>3ème quartile</t>
  </si>
  <si>
    <t>4ème quartile</t>
  </si>
  <si>
    <t>Valeurs extrêmes</t>
  </si>
  <si>
    <t>Limite 1,96  Ect à gauche</t>
  </si>
  <si>
    <t>Valeur extrême à gauche</t>
  </si>
  <si>
    <t>Limite 1,96  Ect à droite</t>
  </si>
  <si>
    <t>Valeur extrême à droite</t>
  </si>
  <si>
    <t>Condition de naissance</t>
  </si>
  <si>
    <t>Enfants nés à terme</t>
  </si>
  <si>
    <t>Mode impossible à calculer sur ces données</t>
  </si>
  <si>
    <t>Répartition des scores  en catégories</t>
  </si>
  <si>
    <t>&gt; 6</t>
  </si>
  <si>
    <t>0 à 9</t>
  </si>
  <si>
    <t>10 à 19</t>
  </si>
  <si>
    <t>20 à 29</t>
  </si>
  <si>
    <t>30 à 39</t>
  </si>
  <si>
    <t>40 à 49</t>
  </si>
  <si>
    <t>50 à 59</t>
  </si>
  <si>
    <t>&gt;= 60</t>
  </si>
  <si>
    <t>Type de variable</t>
  </si>
  <si>
    <t>nominale</t>
  </si>
  <si>
    <t>ordinale</t>
  </si>
  <si>
    <t>quantitative et discrète (d'intervalle)</t>
  </si>
  <si>
    <t>quantitative et continue (de rapport)</t>
  </si>
  <si>
    <t>T1</t>
  </si>
  <si>
    <t>T2</t>
  </si>
  <si>
    <t>T3</t>
  </si>
  <si>
    <t>T4</t>
  </si>
  <si>
    <t>T5</t>
  </si>
  <si>
    <t>P1</t>
  </si>
  <si>
    <t>P2</t>
  </si>
  <si>
    <t>P3</t>
  </si>
  <si>
    <t>P4</t>
  </si>
  <si>
    <t>P5</t>
  </si>
  <si>
    <t>Enfants nés prématurément</t>
  </si>
  <si>
    <t>Test F de Fischer ou test de Levene</t>
  </si>
  <si>
    <t>Note standard Equilibre</t>
  </si>
  <si>
    <t>Enfants NT</t>
  </si>
  <si>
    <t>Enfants NP</t>
  </si>
  <si>
    <t>https://www.socscistatistics.com/tests/kolmogorov</t>
  </si>
  <si>
    <t>Le test de Shapiro-Wilk (pour petits échantillons soit dont l'effectif est inférieur à 50) aurait été mieux mais Excel ne le calcule pas</t>
  </si>
  <si>
    <t>Kolmogorov-Smirnov</t>
  </si>
  <si>
    <t>Valeur de D (K-S)</t>
  </si>
  <si>
    <t>Plus le score d'attention sélective G est petit, plus l'enfant est performant</t>
  </si>
  <si>
    <t>ici la dimension motrice est inclue dans la mesure c-à-d un enfant qui est lent sur le plan moteur est pénalisé sur les composantes de l'attention.</t>
  </si>
  <si>
    <t>Attention sélective: quelle différence entre le score G et U</t>
  </si>
  <si>
    <t>Score G</t>
  </si>
  <si>
    <t>un score de 2,11 indique que l'enfant met en moyenne 2,11 sec pour trouver une cible</t>
  </si>
  <si>
    <t>ici la dimension motrice n'est pas inclue dans la mesure (elle est déduite) c-à-d un enfant qui est lent sur le plan moteur n'est pas  pénalisé sur les composantes de l'attention.</t>
  </si>
  <si>
    <t>Score U</t>
  </si>
  <si>
    <t>Le résultat que nous espérons est que la moyenne des deux groupes se différencie significativement soit que P&lt;0,05</t>
  </si>
  <si>
    <t>Suisse</t>
  </si>
  <si>
    <t>H4</t>
  </si>
  <si>
    <t>Age en mois</t>
  </si>
  <si>
    <t>T6</t>
  </si>
  <si>
    <t>P6</t>
  </si>
  <si>
    <t>P7</t>
  </si>
  <si>
    <t>T7</t>
  </si>
  <si>
    <t>P8</t>
  </si>
  <si>
    <t>T8</t>
  </si>
  <si>
    <t>T9</t>
  </si>
  <si>
    <t>T10</t>
  </si>
  <si>
    <t>0 à 0,9</t>
  </si>
  <si>
    <t>1 à 1,9</t>
  </si>
  <si>
    <t>2 à 2,9</t>
  </si>
  <si>
    <t>3 à 3,9</t>
  </si>
  <si>
    <t>4 à 4,9</t>
  </si>
  <si>
    <t>5 à 5,9</t>
  </si>
  <si>
    <t>Le mode a ainsi été calculé sur les scores répartis par catégories</t>
  </si>
  <si>
    <t>0 à 3</t>
  </si>
  <si>
    <t>4 à 7</t>
  </si>
  <si>
    <t>8 à 11</t>
  </si>
  <si>
    <t>12 à 15</t>
  </si>
  <si>
    <t>16 à 19</t>
  </si>
  <si>
    <t>&gt;20</t>
  </si>
  <si>
    <t>Il s'agit de l'enfant P7 dont le score est de 26 soit très proche de la limite</t>
  </si>
  <si>
    <t>Il s'agit de l'enfant T1 qui a un score de 40 soit très proche de la limite</t>
  </si>
  <si>
    <t>Totalité Population</t>
  </si>
  <si>
    <t>Il s'agit de l'enfant P5 qui a un score de 9,15</t>
  </si>
  <si>
    <t xml:space="preserve">Il s'agit de l'enfant T1 dont le score est de 40 </t>
  </si>
  <si>
    <t>Test d'égalité des espérances: deux observations de variances différentes</t>
  </si>
  <si>
    <t>Règle: Rejeter H0 (indépendance) si la valeur calculée de U  &lt;= valeur critique de U</t>
  </si>
  <si>
    <t>Hypothèses</t>
  </si>
  <si>
    <t>Score =  variable quantitative</t>
  </si>
  <si>
    <t xml:space="preserve">Tous les enfants </t>
  </si>
  <si>
    <t xml:space="preserve"> = le nombre de cibles trouvées en 1 minute pour la tâche carte géographique - ici le focus attentionnel est mis sur une seule cible</t>
  </si>
  <si>
    <t xml:space="preserve"> = temps moyen mis pour trouver une cible pour la tâche des vaisseaux dans le ciel donc pour identifier une paire d'objets identiques (il y a un ttt cognitif + important)</t>
  </si>
  <si>
    <t xml:space="preserve">Comparaison des groupes sur la variable âge    </t>
  </si>
  <si>
    <t xml:space="preserve">Mann-Whitney U test   </t>
  </si>
  <si>
    <t>P9</t>
  </si>
  <si>
    <t>P10</t>
  </si>
  <si>
    <t>Le temps pour entourer des cibles identiques est en effet retranché de ce score</t>
  </si>
  <si>
    <t>plus le score d'attention sélective U est grand, meilleure est la performance</t>
  </si>
  <si>
    <t>un score de 28  indique que l'enfant trouve 28 cibles en 1 minute</t>
  </si>
  <si>
    <t>7;0 à 7;1</t>
  </si>
  <si>
    <t>7;2 à 7;3</t>
  </si>
  <si>
    <t>7;4 à 7;5</t>
  </si>
  <si>
    <t>7;6 à 7;7</t>
  </si>
  <si>
    <t>7;8 à 7;9</t>
  </si>
  <si>
    <t>7;11 à 8</t>
  </si>
  <si>
    <t>Ici vous avez une formule de contrôle                  Si la somme des étudiants par tranches de scores d'équilibre  n'est pas = au nombre d'étudiants de votre échantillon , vous avez une alerte "Check" qui s'écrit</t>
  </si>
  <si>
    <t>Ici vous avez une formule de contrôle                  Si la somme des étudiants par tranches de score d'attention sélective  n'est pas = au nombre d'étudiants de votre échantillon , vous avez une alerte "Check" qui s'écrit</t>
  </si>
  <si>
    <t>Pour l'équilibre, un score aberrant aurait été par ex un score négatif ou supérieur à 19 comme la note standard max est de 19</t>
  </si>
  <si>
    <t xml:space="preserve">Pour le score d'attention G, un score aberrant aurait été par ex un score négatif </t>
  </si>
  <si>
    <t>Pour le score d'attention U, un score aberrant aurait été par ex un score négatif ou un score &gt; 80 comme le nombre max de cibles à trouver = 80</t>
  </si>
  <si>
    <t>Donc il n'y a pas de différence dans les performances en fonction du type de naissance (à terme - prématurée)</t>
  </si>
  <si>
    <t xml:space="preserve">Donc il y a un effet du type de naissance (à terme - prématurée) sur les performances </t>
  </si>
  <si>
    <t xml:space="preserve">Donc il n'y a pas de différence significative au niveau des performances  entre les enfants nés à terme et ceux nés prématurément </t>
  </si>
  <si>
    <t>Donc il y a un effet significatif des conditions de naissance (à terme - préma) sur les performances</t>
  </si>
  <si>
    <t>a</t>
  </si>
  <si>
    <r>
      <t>The </t>
    </r>
    <r>
      <rPr>
        <i/>
        <sz val="11"/>
        <color rgb="FFFF0000"/>
        <rFont val="Open Sans"/>
        <family val="2"/>
      </rPr>
      <t>U</t>
    </r>
    <r>
      <rPr>
        <sz val="11"/>
        <color rgb="FFFF0000"/>
        <rFont val="Open Sans"/>
        <family val="2"/>
      </rPr>
      <t xml:space="preserve">-value is </t>
    </r>
  </si>
  <si>
    <t>Lors de la copie des données sur internet, si vos valeurs ne sont pas entières (ex score G), il vous faut remplacer les "," par des "." . Sinon, le programme comprend que vous travailez sur deux valeurs et non pas une seule, ce qui vous fausse les résultats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</si>
</sst>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37" x14ac:knownFonts="1">
    <font>
      <sz val="11"/>
      <color theme="1"/>
      <name val="Calibri"/>
      <family val="2"/>
      <scheme val="minor"/>
    </font>
    <font>
      <u/>
      <sz val="11"/>
      <color theme="10"/>
      <name val="Calibri"/>
      <family val="2"/>
      <scheme val="minor"/>
    </font>
    <font>
      <b/>
      <sz val="18"/>
      <color rgb="FF000000"/>
      <name val="Arial"/>
      <family val="2"/>
    </font>
    <font>
      <sz val="13"/>
      <color rgb="FFFF66FF"/>
      <name val="Arial"/>
      <family val="2"/>
    </font>
    <font>
      <b/>
      <sz val="18"/>
      <color rgb="FF000000"/>
      <name val="Calibri"/>
      <family val="2"/>
    </font>
    <font>
      <b/>
      <sz val="14"/>
      <color rgb="FF000000"/>
      <name val="Calibri"/>
      <family val="2"/>
    </font>
    <font>
      <sz val="11"/>
      <color theme="1"/>
      <name val="Calibri"/>
      <family val="2"/>
    </font>
    <font>
      <sz val="16"/>
      <color rgb="FF000000"/>
      <name val="Calibri"/>
      <family val="2"/>
    </font>
    <font>
      <b/>
      <sz val="11"/>
      <color rgb="FF000000"/>
      <name val="Calibri"/>
      <family val="2"/>
    </font>
    <font>
      <sz val="13"/>
      <color rgb="FF000000"/>
      <name val="Calibri"/>
      <family val="2"/>
    </font>
    <font>
      <sz val="13"/>
      <name val="Calibri"/>
      <family val="2"/>
    </font>
    <font>
      <b/>
      <sz val="16"/>
      <color rgb="FF000000"/>
      <name val="Calibri"/>
      <family val="2"/>
    </font>
    <font>
      <b/>
      <sz val="11"/>
      <color theme="1"/>
      <name val="Calibri"/>
      <family val="2"/>
      <scheme val="minor"/>
    </font>
    <font>
      <sz val="20"/>
      <color theme="1"/>
      <name val="Britannic Bold"/>
      <family val="2"/>
    </font>
    <font>
      <b/>
      <sz val="20"/>
      <color theme="1"/>
      <name val="Britannic Bold"/>
      <family val="2"/>
    </font>
    <font>
      <b/>
      <u/>
      <sz val="2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b/>
      <sz val="8"/>
      <color theme="1"/>
      <name val="Calibri"/>
      <family val="2"/>
      <scheme val="minor"/>
    </font>
    <font>
      <b/>
      <sz val="10"/>
      <color theme="1"/>
      <name val="Calibri"/>
      <family val="2"/>
      <scheme val="minor"/>
    </font>
    <font>
      <sz val="8"/>
      <color theme="1"/>
      <name val="Calibri"/>
      <family val="2"/>
      <scheme val="minor"/>
    </font>
    <font>
      <b/>
      <sz val="16"/>
      <color theme="1"/>
      <name val="Calibri"/>
      <family val="2"/>
      <scheme val="minor"/>
    </font>
    <font>
      <b/>
      <sz val="20"/>
      <color theme="1"/>
      <name val="Calibri"/>
      <family val="2"/>
      <scheme val="minor"/>
    </font>
    <font>
      <sz val="8"/>
      <name val="Calibri"/>
      <family val="2"/>
      <scheme val="minor"/>
    </font>
    <font>
      <b/>
      <sz val="18"/>
      <color theme="1"/>
      <name val="Calibri"/>
      <family val="2"/>
      <scheme val="minor"/>
    </font>
    <font>
      <b/>
      <sz val="11"/>
      <color theme="1"/>
      <name val="Calibri"/>
      <family val="2"/>
    </font>
    <font>
      <sz val="11"/>
      <color rgb="FF0000FF"/>
      <name val="Calibri"/>
      <family val="2"/>
      <scheme val="minor"/>
    </font>
    <font>
      <sz val="11"/>
      <color rgb="FF000000"/>
      <name val="Calibri"/>
      <family val="2"/>
    </font>
    <font>
      <u/>
      <sz val="11"/>
      <color theme="1"/>
      <name val="Calibri"/>
      <family val="2"/>
    </font>
    <font>
      <u/>
      <sz val="11"/>
      <color theme="1"/>
      <name val="Calibri"/>
      <family val="2"/>
      <scheme val="minor"/>
    </font>
    <font>
      <sz val="12"/>
      <color theme="1"/>
      <name val="Calibri"/>
      <family val="2"/>
      <scheme val="minor"/>
    </font>
    <font>
      <sz val="11"/>
      <color rgb="FFFF0000"/>
      <name val="Open Sans"/>
      <family val="2"/>
    </font>
    <font>
      <i/>
      <sz val="11"/>
      <color rgb="FFFF0000"/>
      <name val="Open Sans"/>
      <family val="2"/>
    </font>
    <font>
      <sz val="12"/>
      <color rgb="FF000000"/>
      <name val="Calibri"/>
      <family val="2"/>
    </font>
    <font>
      <sz val="12"/>
      <color theme="1"/>
      <name val="Calibri"/>
      <family val="2"/>
    </font>
    <font>
      <b/>
      <sz val="14"/>
      <color theme="1"/>
      <name val="Calibri"/>
      <family val="2"/>
    </font>
  </fonts>
  <fills count="44">
    <fill>
      <patternFill patternType="none"/>
    </fill>
    <fill>
      <patternFill patternType="gray125"/>
    </fill>
    <fill>
      <patternFill patternType="solid">
        <fgColor rgb="FFFFCCFF"/>
        <bgColor rgb="FF000000"/>
      </patternFill>
    </fill>
    <fill>
      <patternFill patternType="solid">
        <fgColor rgb="FFFCE4D6"/>
        <bgColor rgb="FF000000"/>
      </patternFill>
    </fill>
    <fill>
      <patternFill patternType="solid">
        <fgColor rgb="FFE2EFDA"/>
        <bgColor rgb="FF000000"/>
      </patternFill>
    </fill>
    <fill>
      <patternFill patternType="solid">
        <fgColor rgb="FF9999FF"/>
        <bgColor rgb="FF000000"/>
      </patternFill>
    </fill>
    <fill>
      <patternFill patternType="solid">
        <fgColor rgb="FFC1C1FF"/>
        <bgColor rgb="FF000000"/>
      </patternFill>
    </fill>
    <fill>
      <patternFill patternType="solid">
        <fgColor rgb="FFEBEBFF"/>
        <bgColor rgb="FF000000"/>
      </patternFill>
    </fill>
    <fill>
      <patternFill patternType="solid">
        <fgColor rgb="FFFFC000"/>
        <bgColor rgb="FF000000"/>
      </patternFill>
    </fill>
    <fill>
      <patternFill patternType="solid">
        <fgColor rgb="FF66FFFF"/>
        <bgColor rgb="FF000000"/>
      </patternFill>
    </fill>
    <fill>
      <patternFill patternType="solid">
        <fgColor rgb="FF99FF99"/>
        <bgColor rgb="FF000000"/>
      </patternFill>
    </fill>
    <fill>
      <patternFill patternType="solid">
        <fgColor rgb="FFE1FFE1"/>
        <bgColor rgb="FF000000"/>
      </patternFill>
    </fill>
    <fill>
      <patternFill patternType="solid">
        <fgColor rgb="FFFF8B8B"/>
        <bgColor rgb="FF000000"/>
      </patternFill>
    </fill>
    <fill>
      <patternFill patternType="solid">
        <fgColor rgb="FFFFC9C9"/>
        <bgColor rgb="FF000000"/>
      </patternFill>
    </fill>
    <fill>
      <patternFill patternType="solid">
        <fgColor rgb="FFFFF1C5"/>
        <bgColor rgb="FF000000"/>
      </patternFill>
    </fill>
    <fill>
      <patternFill patternType="solid">
        <fgColor theme="0" tint="-0.499984740745262"/>
        <bgColor indexed="64"/>
      </patternFill>
    </fill>
    <fill>
      <patternFill patternType="solid">
        <fgColor theme="4" tint="0.59999389629810485"/>
        <bgColor indexed="64"/>
      </patternFill>
    </fill>
    <fill>
      <patternFill patternType="solid">
        <fgColor rgb="FF37CBFF"/>
        <bgColor indexed="64"/>
      </patternFill>
    </fill>
    <fill>
      <patternFill patternType="solid">
        <fgColor rgb="FFEBFAFF"/>
        <bgColor indexed="64"/>
      </patternFill>
    </fill>
    <fill>
      <patternFill patternType="solid">
        <fgColor rgb="FFFFE1FF"/>
        <bgColor indexed="64"/>
      </patternFill>
    </fill>
    <fill>
      <patternFill patternType="solid">
        <fgColor rgb="FFFFEFFF"/>
        <bgColor indexed="64"/>
      </patternFill>
    </fill>
    <fill>
      <patternFill patternType="solid">
        <fgColor theme="7" tint="0.39997558519241921"/>
        <bgColor indexed="64"/>
      </patternFill>
    </fill>
    <fill>
      <patternFill patternType="solid">
        <fgColor rgb="FFD1B1E9"/>
        <bgColor indexed="64"/>
      </patternFill>
    </fill>
    <fill>
      <patternFill patternType="solid">
        <fgColor rgb="FFF6EFFB"/>
        <bgColor indexed="64"/>
      </patternFill>
    </fill>
    <fill>
      <patternFill patternType="solid">
        <fgColor rgb="FFFECBC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rgb="FF000000"/>
      </patternFill>
    </fill>
    <fill>
      <patternFill patternType="solid">
        <fgColor theme="9" tint="0.59999389629810485"/>
        <bgColor rgb="FF00000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CCFF"/>
        <bgColor indexed="64"/>
      </patternFill>
    </fill>
    <fill>
      <patternFill patternType="solid">
        <fgColor rgb="FFFFDDFF"/>
        <bgColor indexed="64"/>
      </patternFill>
    </fill>
    <fill>
      <patternFill patternType="solid">
        <fgColor rgb="FFFFFFCC"/>
        <bgColor indexed="64"/>
      </patternFill>
    </fill>
    <fill>
      <patternFill patternType="solid">
        <fgColor rgb="FFFFCC66"/>
        <bgColor indexed="64"/>
      </patternFill>
    </fill>
    <fill>
      <patternFill patternType="solid">
        <fgColor rgb="FFFE0000"/>
        <bgColor indexed="64"/>
      </patternFill>
    </fill>
    <fill>
      <patternFill patternType="solid">
        <fgColor rgb="FFFFFFF3"/>
        <bgColor indexed="64"/>
      </patternFill>
    </fill>
    <fill>
      <patternFill patternType="solid">
        <fgColor rgb="FFFF0000"/>
        <bgColor indexed="64"/>
      </patternFill>
    </fill>
    <fill>
      <patternFill patternType="solid">
        <fgColor rgb="FFFFDDFF"/>
        <bgColor rgb="FF000000"/>
      </patternFill>
    </fill>
    <fill>
      <patternFill patternType="solid">
        <fgColor rgb="FF92D050"/>
        <bgColor indexed="64"/>
      </patternFill>
    </fill>
    <fill>
      <patternFill patternType="solid">
        <fgColor rgb="FFFFFFCC"/>
        <bgColor rgb="FF000000"/>
      </patternFill>
    </fill>
    <fill>
      <patternFill patternType="solid">
        <fgColor rgb="FFFF9B9B"/>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style="thick">
        <color indexed="64"/>
      </right>
      <top/>
      <bottom/>
      <diagonal/>
    </border>
    <border>
      <left style="medium">
        <color indexed="64"/>
      </left>
      <right/>
      <top/>
      <bottom/>
      <diagonal/>
    </border>
    <border>
      <left style="thick">
        <color indexed="64"/>
      </left>
      <right style="medium">
        <color indexed="64"/>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s>
  <cellStyleXfs count="3">
    <xf numFmtId="0" fontId="0" fillId="0" borderId="0"/>
    <xf numFmtId="0" fontId="1" fillId="0" borderId="0" applyNumberFormat="0" applyFill="0" applyBorder="0" applyAlignment="0" applyProtection="0"/>
    <xf numFmtId="0" fontId="31" fillId="0" borderId="0"/>
  </cellStyleXfs>
  <cellXfs count="328">
    <xf numFmtId="0" fontId="0" fillId="0" borderId="0" xfId="0"/>
    <xf numFmtId="0" fontId="3" fillId="0" borderId="0" xfId="0" applyFont="1"/>
    <xf numFmtId="0" fontId="4" fillId="2" borderId="0" xfId="0" applyFont="1" applyFill="1"/>
    <xf numFmtId="0" fontId="4" fillId="0" borderId="0" xfId="0" applyFont="1"/>
    <xf numFmtId="0" fontId="6" fillId="0" borderId="0" xfId="0" applyFont="1"/>
    <xf numFmtId="0" fontId="7" fillId="0" borderId="0" xfId="0" applyFont="1" applyAlignment="1">
      <alignment horizontal="center"/>
    </xf>
    <xf numFmtId="0" fontId="6" fillId="0" borderId="0" xfId="0" applyFont="1" applyAlignment="1">
      <alignment horizontal="center"/>
    </xf>
    <xf numFmtId="0" fontId="6" fillId="3" borderId="1" xfId="0" applyFont="1" applyFill="1" applyBorder="1" applyAlignment="1">
      <alignment horizontal="center"/>
    </xf>
    <xf numFmtId="0" fontId="6" fillId="4" borderId="1" xfId="0" applyFont="1" applyFill="1" applyBorder="1" applyAlignment="1">
      <alignment horizontal="center"/>
    </xf>
    <xf numFmtId="0" fontId="5" fillId="5" borderId="2" xfId="0" applyFont="1" applyFill="1" applyBorder="1" applyAlignment="1">
      <alignment vertical="center"/>
    </xf>
    <xf numFmtId="0" fontId="6" fillId="5" borderId="3" xfId="0" applyFont="1" applyFill="1" applyBorder="1"/>
    <xf numFmtId="0" fontId="6" fillId="5" borderId="4" xfId="0" applyFont="1" applyFill="1" applyBorder="1"/>
    <xf numFmtId="0" fontId="8" fillId="6" borderId="5" xfId="0" applyFont="1" applyFill="1" applyBorder="1" applyAlignment="1">
      <alignment horizontal="right" vertical="center"/>
    </xf>
    <xf numFmtId="0" fontId="8" fillId="6" borderId="6" xfId="0" applyFont="1" applyFill="1" applyBorder="1" applyAlignment="1">
      <alignment vertical="center"/>
    </xf>
    <xf numFmtId="0" fontId="6" fillId="6" borderId="7" xfId="0" applyFont="1" applyFill="1" applyBorder="1" applyAlignment="1">
      <alignment vertical="center"/>
    </xf>
    <xf numFmtId="0" fontId="6" fillId="6" borderId="8" xfId="0" applyFont="1" applyFill="1" applyBorder="1" applyAlignment="1">
      <alignment vertical="center"/>
    </xf>
    <xf numFmtId="0" fontId="6" fillId="0" borderId="0" xfId="0" applyFont="1" applyAlignment="1">
      <alignment vertical="center"/>
    </xf>
    <xf numFmtId="0" fontId="8" fillId="6" borderId="9" xfId="0" applyFont="1" applyFill="1" applyBorder="1"/>
    <xf numFmtId="0" fontId="6" fillId="7" borderId="10" xfId="0" applyFont="1" applyFill="1" applyBorder="1"/>
    <xf numFmtId="0" fontId="6" fillId="7" borderId="11" xfId="0" applyFont="1" applyFill="1" applyBorder="1"/>
    <xf numFmtId="0" fontId="6" fillId="7" borderId="12" xfId="0" applyFont="1" applyFill="1" applyBorder="1"/>
    <xf numFmtId="0" fontId="8" fillId="6" borderId="13" xfId="0" applyFont="1" applyFill="1" applyBorder="1" applyAlignment="1">
      <alignment horizontal="right"/>
    </xf>
    <xf numFmtId="0" fontId="6" fillId="7" borderId="14" xfId="0" applyFont="1" applyFill="1" applyBorder="1"/>
    <xf numFmtId="0" fontId="6" fillId="7" borderId="15" xfId="0" applyFont="1" applyFill="1" applyBorder="1"/>
    <xf numFmtId="0" fontId="6" fillId="7" borderId="16" xfId="0" applyFont="1" applyFill="1" applyBorder="1"/>
    <xf numFmtId="0" fontId="8" fillId="6" borderId="9" xfId="0" applyFont="1" applyFill="1" applyBorder="1" applyAlignment="1">
      <alignment horizontal="right"/>
    </xf>
    <xf numFmtId="0" fontId="6" fillId="7" borderId="0" xfId="0" applyFont="1" applyFill="1"/>
    <xf numFmtId="0" fontId="6" fillId="7" borderId="17" xfId="0" applyFont="1" applyFill="1" applyBorder="1"/>
    <xf numFmtId="0" fontId="6" fillId="7" borderId="18" xfId="0" applyFont="1" applyFill="1" applyBorder="1"/>
    <xf numFmtId="0" fontId="8" fillId="6" borderId="19" xfId="0" applyFont="1" applyFill="1" applyBorder="1" applyAlignment="1">
      <alignment horizontal="right"/>
    </xf>
    <xf numFmtId="0" fontId="6" fillId="7" borderId="20" xfId="0" applyFont="1" applyFill="1" applyBorder="1"/>
    <xf numFmtId="0" fontId="6" fillId="7" borderId="21" xfId="0" applyFont="1" applyFill="1" applyBorder="1"/>
    <xf numFmtId="0" fontId="5" fillId="8" borderId="0" xfId="0" applyFont="1" applyFill="1"/>
    <xf numFmtId="0" fontId="6" fillId="8" borderId="0" xfId="0" applyFont="1" applyFill="1"/>
    <xf numFmtId="0" fontId="6" fillId="0" borderId="11" xfId="0" applyFont="1" applyBorder="1"/>
    <xf numFmtId="0" fontId="5" fillId="9" borderId="0" xfId="0" applyFont="1" applyFill="1"/>
    <xf numFmtId="0" fontId="6" fillId="9" borderId="0" xfId="0" applyFont="1" applyFill="1"/>
    <xf numFmtId="0" fontId="6" fillId="10" borderId="0" xfId="0" applyFont="1" applyFill="1"/>
    <xf numFmtId="0" fontId="6" fillId="11" borderId="0" xfId="0" applyFont="1" applyFill="1" applyAlignment="1">
      <alignment vertical="center" wrapText="1"/>
    </xf>
    <xf numFmtId="0" fontId="6" fillId="11" borderId="0" xfId="0" applyFont="1" applyFill="1" applyAlignment="1">
      <alignment horizontal="left" vertical="center" wrapText="1"/>
    </xf>
    <xf numFmtId="0" fontId="6" fillId="11" borderId="0" xfId="0" applyFont="1" applyFill="1"/>
    <xf numFmtId="0" fontId="8" fillId="6" borderId="22" xfId="0" applyFont="1" applyFill="1" applyBorder="1" applyAlignment="1">
      <alignment horizontal="right" vertical="center"/>
    </xf>
    <xf numFmtId="0" fontId="6" fillId="6" borderId="23" xfId="0" applyFont="1" applyFill="1" applyBorder="1" applyAlignment="1">
      <alignment vertical="center"/>
    </xf>
    <xf numFmtId="0" fontId="8" fillId="6" borderId="24" xfId="0" applyFont="1" applyFill="1" applyBorder="1" applyAlignment="1">
      <alignment horizontal="right"/>
    </xf>
    <xf numFmtId="0" fontId="6" fillId="7" borderId="25" xfId="0" applyFont="1" applyFill="1" applyBorder="1"/>
    <xf numFmtId="0" fontId="8" fillId="6" borderId="26" xfId="0" applyFont="1" applyFill="1" applyBorder="1" applyAlignment="1">
      <alignment horizontal="right"/>
    </xf>
    <xf numFmtId="0" fontId="6" fillId="7" borderId="27" xfId="0" applyFont="1" applyFill="1" applyBorder="1"/>
    <xf numFmtId="0" fontId="8" fillId="0" borderId="0" xfId="0" applyFont="1"/>
    <xf numFmtId="0" fontId="6" fillId="0" borderId="28" xfId="0" applyFont="1" applyBorder="1"/>
    <xf numFmtId="0" fontId="6" fillId="0" borderId="28" xfId="0" applyFont="1" applyBorder="1" applyAlignment="1">
      <alignment wrapText="1"/>
    </xf>
    <xf numFmtId="0" fontId="6" fillId="0" borderId="28" xfId="0" applyFont="1" applyBorder="1" applyAlignment="1">
      <alignment horizontal="center"/>
    </xf>
    <xf numFmtId="0" fontId="6" fillId="2" borderId="0" xfId="0" applyFont="1" applyFill="1"/>
    <xf numFmtId="0" fontId="8" fillId="12" borderId="0" xfId="0" applyFont="1" applyFill="1"/>
    <xf numFmtId="0" fontId="6" fillId="12" borderId="0" xfId="0" applyFont="1" applyFill="1"/>
    <xf numFmtId="0" fontId="6" fillId="13" borderId="0" xfId="0" applyFont="1" applyFill="1"/>
    <xf numFmtId="0" fontId="6" fillId="14" borderId="0" xfId="0" applyFont="1" applyFill="1" applyAlignment="1">
      <alignment horizontal="right"/>
    </xf>
    <xf numFmtId="0" fontId="6" fillId="14" borderId="0" xfId="0" applyFont="1" applyFill="1"/>
    <xf numFmtId="0" fontId="6" fillId="0" borderId="0" xfId="0" applyFont="1" applyAlignment="1">
      <alignment horizontal="left"/>
    </xf>
    <xf numFmtId="0" fontId="8" fillId="0" borderId="30" xfId="0" applyFont="1" applyBorder="1"/>
    <xf numFmtId="0" fontId="6" fillId="0" borderId="31" xfId="0" applyFont="1" applyBorder="1"/>
    <xf numFmtId="0" fontId="8" fillId="0" borderId="31" xfId="0" applyFont="1" applyBorder="1"/>
    <xf numFmtId="0" fontId="6" fillId="0" borderId="32" xfId="0" applyFont="1" applyBorder="1"/>
    <xf numFmtId="0" fontId="8" fillId="0" borderId="18" xfId="0" applyFont="1" applyBorder="1"/>
    <xf numFmtId="0" fontId="6" fillId="0" borderId="25" xfId="0" applyFont="1" applyBorder="1"/>
    <xf numFmtId="0" fontId="8" fillId="0" borderId="10" xfId="0" applyFont="1" applyBorder="1"/>
    <xf numFmtId="0" fontId="6" fillId="0" borderId="27" xfId="0" applyFont="1" applyBorder="1"/>
    <xf numFmtId="0" fontId="6" fillId="0" borderId="10" xfId="0" applyFont="1" applyBorder="1"/>
    <xf numFmtId="0" fontId="9" fillId="0" borderId="0" xfId="0" applyFont="1"/>
    <xf numFmtId="0" fontId="10" fillId="0" borderId="0" xfId="0" applyFont="1"/>
    <xf numFmtId="0" fontId="11" fillId="0" borderId="0" xfId="0" applyFont="1"/>
    <xf numFmtId="0" fontId="7" fillId="0" borderId="0" xfId="0" applyFont="1"/>
    <xf numFmtId="0" fontId="0" fillId="15" borderId="0" xfId="0" applyFill="1"/>
    <xf numFmtId="0" fontId="0" fillId="15" borderId="0" xfId="0" applyFill="1" applyAlignment="1">
      <alignment horizontal="center" vertical="center"/>
    </xf>
    <xf numFmtId="0" fontId="0" fillId="15" borderId="0" xfId="0" applyFill="1" applyAlignment="1">
      <alignment horizontal="center"/>
    </xf>
    <xf numFmtId="14" fontId="0" fillId="15" borderId="0" xfId="0" applyNumberFormat="1" applyFill="1"/>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22" xfId="0" applyFont="1" applyBorder="1" applyAlignment="1">
      <alignment horizontal="center" vertical="center" wrapText="1"/>
    </xf>
    <xf numFmtId="14" fontId="0" fillId="0" borderId="48" xfId="0" applyNumberFormat="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14" fontId="0" fillId="0" borderId="52" xfId="0" applyNumberFormat="1" applyBorder="1" applyAlignment="1">
      <alignment horizontal="center" vertical="center"/>
    </xf>
    <xf numFmtId="0" fontId="0" fillId="0" borderId="53" xfId="0" applyBorder="1" applyAlignment="1">
      <alignment horizontal="center" vertical="center"/>
    </xf>
    <xf numFmtId="14" fontId="0" fillId="0" borderId="53" xfId="0" applyNumberFormat="1" applyBorder="1" applyAlignment="1">
      <alignment horizontal="center" vertical="center"/>
    </xf>
    <xf numFmtId="0" fontId="0" fillId="0" borderId="53" xfId="0" applyBorder="1" applyAlignment="1">
      <alignment horizontal="center"/>
    </xf>
    <xf numFmtId="0" fontId="0" fillId="0" borderId="54" xfId="0" applyBorder="1" applyAlignment="1">
      <alignment horizontal="center" vertical="center"/>
    </xf>
    <xf numFmtId="0" fontId="0" fillId="0" borderId="52"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6" fillId="0" borderId="44" xfId="0" applyFont="1" applyBorder="1"/>
    <xf numFmtId="0" fontId="16" fillId="0" borderId="45" xfId="0" applyFont="1" applyBorder="1"/>
    <xf numFmtId="0" fontId="16" fillId="0" borderId="45" xfId="0" applyFont="1" applyBorder="1" applyAlignment="1">
      <alignment horizontal="center" vertical="center"/>
    </xf>
    <xf numFmtId="0" fontId="16" fillId="0" borderId="45" xfId="0" applyFont="1" applyBorder="1" applyAlignment="1">
      <alignment horizontal="center"/>
    </xf>
    <xf numFmtId="0" fontId="16" fillId="0" borderId="46" xfId="0" applyFont="1" applyBorder="1"/>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32" xfId="0" applyFont="1" applyBorder="1" applyAlignment="1">
      <alignment horizontal="center" vertical="center" wrapText="1"/>
    </xf>
    <xf numFmtId="0" fontId="0" fillId="0" borderId="52" xfId="0" applyBorder="1"/>
    <xf numFmtId="0" fontId="0" fillId="0" borderId="53" xfId="0" applyBorder="1"/>
    <xf numFmtId="0" fontId="0" fillId="0" borderId="54" xfId="0" applyBorder="1"/>
    <xf numFmtId="0" fontId="0" fillId="0" borderId="57" xfId="0" applyBorder="1" applyAlignment="1">
      <alignment horizontal="center" vertical="center"/>
    </xf>
    <xf numFmtId="164" fontId="0" fillId="0" borderId="57" xfId="0" applyNumberFormat="1" applyBorder="1" applyAlignment="1">
      <alignment horizontal="center" vertical="center"/>
    </xf>
    <xf numFmtId="0" fontId="0" fillId="0" borderId="58" xfId="0" applyBorder="1" applyAlignment="1">
      <alignment horizontal="center" vertical="center"/>
    </xf>
    <xf numFmtId="164" fontId="0" fillId="0" borderId="26" xfId="0" applyNumberFormat="1" applyBorder="1" applyAlignment="1">
      <alignment horizontal="center" vertical="center"/>
    </xf>
    <xf numFmtId="0" fontId="0" fillId="0" borderId="27" xfId="0" applyBorder="1" applyAlignment="1">
      <alignment horizontal="center" vertical="center"/>
    </xf>
    <xf numFmtId="0" fontId="12" fillId="17" borderId="33" xfId="0" applyFont="1" applyFill="1" applyBorder="1" applyAlignment="1">
      <alignment horizontal="left" vertical="center"/>
    </xf>
    <xf numFmtId="0" fontId="0" fillId="17" borderId="35" xfId="0" applyFill="1" applyBorder="1" applyAlignment="1">
      <alignment horizontal="left" vertical="center"/>
    </xf>
    <xf numFmtId="0" fontId="0" fillId="17" borderId="34" xfId="0" applyFill="1" applyBorder="1" applyAlignment="1">
      <alignment horizontal="left" vertical="center"/>
    </xf>
    <xf numFmtId="0" fontId="0" fillId="0" borderId="0" xfId="0" applyAlignment="1">
      <alignment horizontal="center"/>
    </xf>
    <xf numFmtId="0" fontId="0" fillId="18" borderId="30" xfId="0" applyFill="1" applyBorder="1"/>
    <xf numFmtId="0" fontId="0" fillId="18" borderId="31" xfId="0" applyFill="1" applyBorder="1"/>
    <xf numFmtId="0" fontId="12" fillId="18" borderId="31" xfId="0" applyFont="1" applyFill="1" applyBorder="1"/>
    <xf numFmtId="0" fontId="0" fillId="18" borderId="32" xfId="0" applyFill="1" applyBorder="1"/>
    <xf numFmtId="0" fontId="12" fillId="18" borderId="18" xfId="0" applyFont="1" applyFill="1" applyBorder="1"/>
    <xf numFmtId="0" fontId="12" fillId="18" borderId="0" xfId="0" applyFont="1" applyFill="1"/>
    <xf numFmtId="0" fontId="0" fillId="18" borderId="0" xfId="0" applyFill="1"/>
    <xf numFmtId="0" fontId="0" fillId="18" borderId="25" xfId="0" applyFill="1" applyBorder="1"/>
    <xf numFmtId="0" fontId="0" fillId="18" borderId="18" xfId="0" applyFill="1" applyBorder="1"/>
    <xf numFmtId="0" fontId="19" fillId="18" borderId="0" xfId="0" applyFont="1" applyFill="1" applyAlignment="1">
      <alignment wrapText="1"/>
    </xf>
    <xf numFmtId="2" fontId="0" fillId="18" borderId="0" xfId="0" applyNumberFormat="1" applyFill="1"/>
    <xf numFmtId="0" fontId="12" fillId="18" borderId="0" xfId="0" applyFont="1" applyFill="1" applyAlignment="1">
      <alignment vertical="center" textRotation="90" wrapText="1"/>
    </xf>
    <xf numFmtId="0" fontId="0" fillId="19" borderId="18" xfId="0" applyFill="1" applyBorder="1"/>
    <xf numFmtId="0" fontId="0" fillId="19" borderId="0" xfId="0" applyFill="1"/>
    <xf numFmtId="1" fontId="0" fillId="0" borderId="0" xfId="0" applyNumberFormat="1"/>
    <xf numFmtId="2" fontId="0" fillId="0" borderId="0" xfId="0" applyNumberFormat="1"/>
    <xf numFmtId="2" fontId="0" fillId="0" borderId="0" xfId="0" applyNumberFormat="1" applyAlignment="1">
      <alignment horizontal="center"/>
    </xf>
    <xf numFmtId="0" fontId="21" fillId="18" borderId="18" xfId="0" applyFont="1" applyFill="1" applyBorder="1" applyAlignment="1">
      <alignment wrapText="1"/>
    </xf>
    <xf numFmtId="0" fontId="21" fillId="18" borderId="0" xfId="0" applyFont="1" applyFill="1" applyAlignment="1">
      <alignment wrapText="1"/>
    </xf>
    <xf numFmtId="0" fontId="0" fillId="18" borderId="10" xfId="0" applyFill="1" applyBorder="1"/>
    <xf numFmtId="0" fontId="0" fillId="18" borderId="11" xfId="0" applyFill="1" applyBorder="1"/>
    <xf numFmtId="0" fontId="12" fillId="18" borderId="11" xfId="0" applyFont="1" applyFill="1" applyBorder="1"/>
    <xf numFmtId="0" fontId="0" fillId="18" borderId="27" xfId="0" applyFill="1" applyBorder="1"/>
    <xf numFmtId="0" fontId="7" fillId="0" borderId="0" xfId="0" applyFont="1" applyAlignment="1">
      <alignment horizontal="center" vertical="center" wrapText="1"/>
    </xf>
    <xf numFmtId="0" fontId="23" fillId="0" borderId="0" xfId="0" applyFont="1"/>
    <xf numFmtId="0" fontId="12" fillId="22" borderId="33" xfId="0" applyFont="1" applyFill="1" applyBorder="1" applyAlignment="1">
      <alignment horizontal="left" vertical="center"/>
    </xf>
    <xf numFmtId="0" fontId="0" fillId="22" borderId="35" xfId="0" applyFill="1" applyBorder="1" applyAlignment="1">
      <alignment horizontal="left" vertical="center"/>
    </xf>
    <xf numFmtId="0" fontId="0" fillId="22" borderId="34" xfId="0" applyFill="1" applyBorder="1" applyAlignment="1">
      <alignment horizontal="left" vertical="center"/>
    </xf>
    <xf numFmtId="0" fontId="0" fillId="23" borderId="30" xfId="0" applyFill="1" applyBorder="1"/>
    <xf numFmtId="0" fontId="0" fillId="23" borderId="31" xfId="0" applyFill="1" applyBorder="1"/>
    <xf numFmtId="0" fontId="12" fillId="23" borderId="31" xfId="0" applyFont="1" applyFill="1" applyBorder="1"/>
    <xf numFmtId="0" fontId="0" fillId="23" borderId="32" xfId="0" applyFill="1" applyBorder="1"/>
    <xf numFmtId="0" fontId="12" fillId="23" borderId="18" xfId="0" applyFont="1" applyFill="1" applyBorder="1"/>
    <xf numFmtId="0" fontId="12" fillId="23" borderId="0" xfId="0" applyFont="1" applyFill="1"/>
    <xf numFmtId="0" fontId="0" fillId="23" borderId="0" xfId="0" applyFill="1"/>
    <xf numFmtId="0" fontId="0" fillId="23" borderId="25" xfId="0" applyFill="1" applyBorder="1"/>
    <xf numFmtId="0" fontId="0" fillId="23" borderId="18" xfId="0" applyFill="1" applyBorder="1"/>
    <xf numFmtId="0" fontId="19" fillId="23" borderId="0" xfId="0" applyFont="1" applyFill="1" applyAlignment="1">
      <alignment wrapText="1"/>
    </xf>
    <xf numFmtId="2" fontId="0" fillId="23" borderId="0" xfId="0" applyNumberFormat="1" applyFill="1"/>
    <xf numFmtId="0" fontId="12" fillId="23" borderId="0" xfId="0" applyFont="1" applyFill="1" applyAlignment="1">
      <alignment vertical="center" textRotation="90" wrapText="1"/>
    </xf>
    <xf numFmtId="0" fontId="21" fillId="23" borderId="18" xfId="0" applyFont="1" applyFill="1" applyBorder="1" applyAlignment="1">
      <alignment wrapText="1"/>
    </xf>
    <xf numFmtId="0" fontId="21" fillId="23" borderId="0" xfId="0" applyFont="1" applyFill="1" applyAlignment="1">
      <alignment wrapText="1"/>
    </xf>
    <xf numFmtId="0" fontId="0" fillId="23" borderId="10" xfId="0" applyFill="1" applyBorder="1"/>
    <xf numFmtId="0" fontId="0" fillId="23" borderId="11" xfId="0" applyFill="1" applyBorder="1"/>
    <xf numFmtId="0" fontId="12" fillId="23" borderId="11" xfId="0" applyFont="1" applyFill="1" applyBorder="1"/>
    <xf numFmtId="0" fontId="0" fillId="23" borderId="27" xfId="0" applyFill="1" applyBorder="1"/>
    <xf numFmtId="0" fontId="22" fillId="21" borderId="0" xfId="0" applyFont="1" applyFill="1"/>
    <xf numFmtId="0" fontId="12" fillId="24" borderId="0" xfId="0" applyFont="1" applyFill="1"/>
    <xf numFmtId="0" fontId="0" fillId="24" borderId="0" xfId="0" applyFill="1"/>
    <xf numFmtId="0" fontId="22" fillId="25" borderId="0" xfId="0" applyFont="1" applyFill="1"/>
    <xf numFmtId="0" fontId="27" fillId="0" borderId="0" xfId="0" applyFont="1"/>
    <xf numFmtId="0" fontId="6" fillId="28" borderId="28" xfId="0" applyFont="1" applyFill="1" applyBorder="1" applyAlignment="1">
      <alignment horizontal="center"/>
    </xf>
    <xf numFmtId="0" fontId="6" fillId="29" borderId="28" xfId="0" applyFont="1" applyFill="1" applyBorder="1" applyAlignment="1">
      <alignment horizontal="center"/>
    </xf>
    <xf numFmtId="0" fontId="6" fillId="0" borderId="0" xfId="0" applyFont="1" applyAlignment="1">
      <alignment wrapText="1"/>
    </xf>
    <xf numFmtId="0" fontId="28" fillId="0" borderId="0" xfId="0" applyFont="1"/>
    <xf numFmtId="0" fontId="6" fillId="29" borderId="60" xfId="0" applyFont="1" applyFill="1" applyBorder="1" applyAlignment="1">
      <alignment horizontal="center"/>
    </xf>
    <xf numFmtId="0" fontId="0" fillId="0" borderId="59" xfId="0" applyBorder="1" applyAlignment="1">
      <alignment horizontal="right"/>
    </xf>
    <xf numFmtId="0" fontId="6" fillId="30" borderId="0" xfId="0" applyFont="1" applyFill="1"/>
    <xf numFmtId="0" fontId="18" fillId="31" borderId="7" xfId="0" applyFont="1" applyFill="1" applyBorder="1" applyAlignment="1">
      <alignment horizontal="center"/>
    </xf>
    <xf numFmtId="0" fontId="18" fillId="32" borderId="7" xfId="0" applyFont="1" applyFill="1" applyBorder="1" applyAlignment="1">
      <alignment horizontal="center"/>
    </xf>
    <xf numFmtId="0" fontId="17" fillId="0" borderId="0" xfId="0" applyFont="1"/>
    <xf numFmtId="0" fontId="25" fillId="21" borderId="0" xfId="0" applyFont="1" applyFill="1" applyAlignment="1">
      <alignment horizontal="center" vertical="center" textRotation="90"/>
    </xf>
    <xf numFmtId="0" fontId="25" fillId="25" borderId="0" xfId="0" applyFont="1" applyFill="1" applyAlignment="1">
      <alignment horizontal="center" vertical="center" textRotation="90"/>
    </xf>
    <xf numFmtId="0" fontId="12" fillId="26" borderId="0" xfId="0" applyFont="1" applyFill="1" applyAlignment="1">
      <alignment horizontal="center"/>
    </xf>
    <xf numFmtId="0" fontId="29" fillId="26" borderId="0" xfId="0" applyFont="1" applyFill="1"/>
    <xf numFmtId="0" fontId="0" fillId="26" borderId="0" xfId="0" applyFill="1"/>
    <xf numFmtId="0" fontId="0" fillId="27" borderId="0" xfId="0" applyFill="1"/>
    <xf numFmtId="0" fontId="29" fillId="27" borderId="0" xfId="0" applyFont="1" applyFill="1"/>
    <xf numFmtId="0" fontId="30" fillId="27" borderId="0" xfId="0" applyFont="1" applyFill="1"/>
    <xf numFmtId="0" fontId="6" fillId="27" borderId="0" xfId="0" applyFont="1" applyFill="1"/>
    <xf numFmtId="0" fontId="6" fillId="27" borderId="0" xfId="0" applyFont="1" applyFill="1" applyAlignment="1">
      <alignment vertical="top"/>
    </xf>
    <xf numFmtId="0" fontId="6" fillId="36" borderId="0" xfId="0" applyFont="1" applyFill="1"/>
    <xf numFmtId="0" fontId="1" fillId="0" borderId="0" xfId="1"/>
    <xf numFmtId="0" fontId="31" fillId="15" borderId="0" xfId="2" applyFill="1"/>
    <xf numFmtId="0" fontId="31" fillId="15" borderId="0" xfId="2" applyFill="1" applyAlignment="1">
      <alignment horizontal="center"/>
    </xf>
    <xf numFmtId="14" fontId="31" fillId="0" borderId="42" xfId="2" applyNumberFormat="1" applyBorder="1" applyAlignment="1">
      <alignment horizontal="center" vertical="center"/>
    </xf>
    <xf numFmtId="0" fontId="31" fillId="0" borderId="29" xfId="2" applyBorder="1" applyAlignment="1">
      <alignment horizontal="center" vertical="center"/>
    </xf>
    <xf numFmtId="14" fontId="31" fillId="0" borderId="29" xfId="2" applyNumberFormat="1" applyBorder="1" applyAlignment="1">
      <alignment horizontal="center" vertical="center"/>
    </xf>
    <xf numFmtId="0" fontId="31" fillId="0" borderId="29" xfId="2" applyBorder="1" applyAlignment="1">
      <alignment horizontal="center"/>
    </xf>
    <xf numFmtId="0" fontId="31" fillId="0" borderId="43" xfId="2" applyBorder="1" applyAlignment="1">
      <alignment horizontal="center" vertical="center"/>
    </xf>
    <xf numFmtId="0" fontId="31" fillId="0" borderId="44" xfId="2" applyBorder="1" applyAlignment="1">
      <alignment horizontal="center" vertical="center"/>
    </xf>
    <xf numFmtId="9" fontId="31" fillId="0" borderId="45" xfId="2" applyNumberFormat="1" applyBorder="1" applyAlignment="1">
      <alignment horizontal="center" vertical="center"/>
    </xf>
    <xf numFmtId="0" fontId="31" fillId="0" borderId="45" xfId="2" applyBorder="1" applyAlignment="1">
      <alignment horizontal="center" vertical="center"/>
    </xf>
    <xf numFmtId="9" fontId="31" fillId="0" borderId="46" xfId="2" applyNumberFormat="1" applyBorder="1" applyAlignment="1">
      <alignment horizontal="center" vertical="center"/>
    </xf>
    <xf numFmtId="0" fontId="31" fillId="0" borderId="6" xfId="2" applyBorder="1" applyAlignment="1">
      <alignment horizontal="center" vertical="center"/>
    </xf>
    <xf numFmtId="9" fontId="31" fillId="0" borderId="47" xfId="2" applyNumberFormat="1" applyBorder="1" applyAlignment="1">
      <alignment horizontal="center" vertical="center"/>
    </xf>
    <xf numFmtId="14" fontId="31" fillId="0" borderId="48" xfId="2" applyNumberFormat="1" applyBorder="1" applyAlignment="1">
      <alignment horizontal="center" vertical="center"/>
    </xf>
    <xf numFmtId="0" fontId="31" fillId="0" borderId="1" xfId="2" applyBorder="1" applyAlignment="1">
      <alignment horizontal="center" vertical="center"/>
    </xf>
    <xf numFmtId="14" fontId="31" fillId="0" borderId="1" xfId="2" applyNumberFormat="1" applyBorder="1" applyAlignment="1">
      <alignment horizontal="center" vertical="center"/>
    </xf>
    <xf numFmtId="0" fontId="31" fillId="0" borderId="1" xfId="2" applyBorder="1" applyAlignment="1">
      <alignment horizontal="center"/>
    </xf>
    <xf numFmtId="0" fontId="31" fillId="0" borderId="49" xfId="2" applyBorder="1" applyAlignment="1">
      <alignment horizontal="center" vertical="center"/>
    </xf>
    <xf numFmtId="0" fontId="31" fillId="0" borderId="48" xfId="2" applyBorder="1" applyAlignment="1">
      <alignment horizontal="center" vertical="center"/>
    </xf>
    <xf numFmtId="9" fontId="31" fillId="0" borderId="1" xfId="2" applyNumberFormat="1" applyBorder="1" applyAlignment="1">
      <alignment horizontal="center" vertical="center"/>
    </xf>
    <xf numFmtId="9" fontId="31" fillId="0" borderId="49" xfId="2" applyNumberFormat="1" applyBorder="1" applyAlignment="1">
      <alignment horizontal="center" vertical="center"/>
    </xf>
    <xf numFmtId="0" fontId="31" fillId="0" borderId="50" xfId="2" applyBorder="1" applyAlignment="1">
      <alignment horizontal="center" vertical="center"/>
    </xf>
    <xf numFmtId="9" fontId="31" fillId="0" borderId="51" xfId="2" applyNumberFormat="1" applyBorder="1" applyAlignment="1">
      <alignment horizontal="center" vertical="center"/>
    </xf>
    <xf numFmtId="0" fontId="16" fillId="15" borderId="0" xfId="2" applyFont="1" applyFill="1" applyAlignment="1">
      <alignment horizontal="center" vertical="center"/>
    </xf>
    <xf numFmtId="0" fontId="16" fillId="15" borderId="0" xfId="2" applyFont="1" applyFill="1" applyAlignment="1">
      <alignment horizontal="center" vertical="center" wrapText="1"/>
    </xf>
    <xf numFmtId="9" fontId="31" fillId="16" borderId="51" xfId="2" applyNumberFormat="1" applyFill="1" applyBorder="1" applyAlignment="1">
      <alignment horizontal="center" vertical="center"/>
    </xf>
    <xf numFmtId="0" fontId="31" fillId="0" borderId="51" xfId="2" applyBorder="1" applyAlignment="1">
      <alignment horizontal="center" vertical="center"/>
    </xf>
    <xf numFmtId="0" fontId="0" fillId="0" borderId="35" xfId="0" applyBorder="1" applyAlignment="1">
      <alignment horizontal="center"/>
    </xf>
    <xf numFmtId="2" fontId="0" fillId="18" borderId="0" xfId="0" applyNumberFormat="1" applyFill="1" applyAlignment="1">
      <alignment horizontal="right"/>
    </xf>
    <xf numFmtId="0" fontId="22" fillId="37" borderId="0" xfId="0" applyFont="1" applyFill="1"/>
    <xf numFmtId="0" fontId="0" fillId="0" borderId="0" xfId="0" applyAlignment="1">
      <alignment horizontal="right"/>
    </xf>
    <xf numFmtId="0" fontId="0" fillId="26" borderId="0" xfId="0" applyFill="1" applyAlignment="1">
      <alignment horizontal="right"/>
    </xf>
    <xf numFmtId="0" fontId="0" fillId="27" borderId="0" xfId="0" applyFill="1" applyAlignment="1">
      <alignment horizontal="right"/>
    </xf>
    <xf numFmtId="0" fontId="22" fillId="21" borderId="0" xfId="0" applyFont="1" applyFill="1" applyAlignment="1">
      <alignment horizontal="right"/>
    </xf>
    <xf numFmtId="0" fontId="0" fillId="17" borderId="35" xfId="0" applyFill="1" applyBorder="1" applyAlignment="1">
      <alignment horizontal="right" vertical="center"/>
    </xf>
    <xf numFmtId="0" fontId="0" fillId="18" borderId="31" xfId="0" applyFill="1" applyBorder="1" applyAlignment="1">
      <alignment horizontal="right"/>
    </xf>
    <xf numFmtId="0" fontId="0" fillId="18" borderId="0" xfId="0" applyFill="1" applyAlignment="1">
      <alignment horizontal="right"/>
    </xf>
    <xf numFmtId="1" fontId="0" fillId="18" borderId="0" xfId="0" applyNumberFormat="1" applyFill="1" applyAlignment="1">
      <alignment horizontal="right"/>
    </xf>
    <xf numFmtId="165" fontId="0" fillId="18" borderId="0" xfId="0" applyNumberFormat="1" applyFill="1" applyAlignment="1">
      <alignment horizontal="right"/>
    </xf>
    <xf numFmtId="0" fontId="0" fillId="18" borderId="11" xfId="0" applyFill="1" applyBorder="1" applyAlignment="1">
      <alignment horizontal="right"/>
    </xf>
    <xf numFmtId="0" fontId="0" fillId="22" borderId="35" xfId="0" applyFill="1" applyBorder="1" applyAlignment="1">
      <alignment horizontal="right" vertical="center"/>
    </xf>
    <xf numFmtId="0" fontId="0" fillId="23" borderId="31" xfId="0" applyFill="1" applyBorder="1" applyAlignment="1">
      <alignment horizontal="right"/>
    </xf>
    <xf numFmtId="0" fontId="0" fillId="23" borderId="0" xfId="0" applyFill="1" applyAlignment="1">
      <alignment horizontal="right"/>
    </xf>
    <xf numFmtId="2" fontId="0" fillId="23" borderId="0" xfId="0" applyNumberFormat="1" applyFill="1" applyAlignment="1">
      <alignment horizontal="right"/>
    </xf>
    <xf numFmtId="1" fontId="0" fillId="23" borderId="0" xfId="0" applyNumberFormat="1" applyFill="1" applyAlignment="1">
      <alignment horizontal="right"/>
    </xf>
    <xf numFmtId="165" fontId="0" fillId="23" borderId="0" xfId="0" applyNumberFormat="1" applyFill="1" applyAlignment="1">
      <alignment horizontal="right"/>
    </xf>
    <xf numFmtId="0" fontId="0" fillId="23" borderId="11" xfId="0" applyFill="1" applyBorder="1" applyAlignment="1">
      <alignment horizontal="right"/>
    </xf>
    <xf numFmtId="0" fontId="22" fillId="25" borderId="0" xfId="0" applyFont="1" applyFill="1" applyAlignment="1">
      <alignment horizontal="right"/>
    </xf>
    <xf numFmtId="0" fontId="22" fillId="37" borderId="0" xfId="0" applyFont="1" applyFill="1" applyAlignment="1">
      <alignment horizontal="right"/>
    </xf>
    <xf numFmtId="0" fontId="12" fillId="35" borderId="33" xfId="0" applyFont="1" applyFill="1" applyBorder="1" applyAlignment="1">
      <alignment horizontal="left" vertical="center"/>
    </xf>
    <xf numFmtId="0" fontId="0" fillId="35" borderId="35" xfId="0" applyFill="1" applyBorder="1" applyAlignment="1">
      <alignment horizontal="left" vertical="center"/>
    </xf>
    <xf numFmtId="0" fontId="0" fillId="35" borderId="35" xfId="0" applyFill="1" applyBorder="1" applyAlignment="1">
      <alignment horizontal="right" vertical="center"/>
    </xf>
    <xf numFmtId="0" fontId="0" fillId="35" borderId="34" xfId="0" applyFill="1" applyBorder="1" applyAlignment="1">
      <alignment horizontal="left" vertical="center"/>
    </xf>
    <xf numFmtId="0" fontId="0" fillId="38" borderId="30" xfId="0" applyFill="1" applyBorder="1"/>
    <xf numFmtId="0" fontId="0" fillId="38" borderId="31" xfId="0" applyFill="1" applyBorder="1"/>
    <xf numFmtId="0" fontId="12" fillId="38" borderId="31" xfId="0" applyFont="1" applyFill="1" applyBorder="1"/>
    <xf numFmtId="0" fontId="0" fillId="38" borderId="31" xfId="0" applyFill="1" applyBorder="1" applyAlignment="1">
      <alignment horizontal="right"/>
    </xf>
    <xf numFmtId="0" fontId="0" fillId="38" borderId="32" xfId="0" applyFill="1" applyBorder="1"/>
    <xf numFmtId="0" fontId="12" fillId="38" borderId="18" xfId="0" applyFont="1" applyFill="1" applyBorder="1"/>
    <xf numFmtId="0" fontId="12" fillId="38" borderId="0" xfId="0" applyFont="1" applyFill="1"/>
    <xf numFmtId="0" fontId="0" fillId="38" borderId="0" xfId="0" applyFill="1" applyAlignment="1">
      <alignment horizontal="right"/>
    </xf>
    <xf numFmtId="0" fontId="0" fillId="38" borderId="25" xfId="0" applyFill="1" applyBorder="1"/>
    <xf numFmtId="0" fontId="0" fillId="38" borderId="18" xfId="0" applyFill="1" applyBorder="1"/>
    <xf numFmtId="0" fontId="0" fillId="38" borderId="0" xfId="0" applyFill="1"/>
    <xf numFmtId="0" fontId="19" fillId="38" borderId="0" xfId="0" applyFont="1" applyFill="1" applyAlignment="1">
      <alignment wrapText="1"/>
    </xf>
    <xf numFmtId="2" fontId="0" fillId="38" borderId="0" xfId="0" applyNumberFormat="1" applyFill="1"/>
    <xf numFmtId="2" fontId="0" fillId="38" borderId="0" xfId="0" applyNumberFormat="1" applyFill="1" applyAlignment="1">
      <alignment horizontal="right"/>
    </xf>
    <xf numFmtId="0" fontId="12" fillId="38" borderId="0" xfId="0" applyFont="1" applyFill="1" applyAlignment="1">
      <alignment vertical="center" textRotation="90" wrapText="1"/>
    </xf>
    <xf numFmtId="1" fontId="0" fillId="38" borderId="0" xfId="0" applyNumberFormat="1" applyFill="1" applyAlignment="1">
      <alignment horizontal="right"/>
    </xf>
    <xf numFmtId="165" fontId="0" fillId="38" borderId="0" xfId="0" applyNumberFormat="1" applyFill="1" applyAlignment="1">
      <alignment horizontal="right"/>
    </xf>
    <xf numFmtId="0" fontId="21" fillId="38" borderId="18" xfId="0" applyFont="1" applyFill="1" applyBorder="1" applyAlignment="1">
      <alignment wrapText="1"/>
    </xf>
    <xf numFmtId="0" fontId="21" fillId="38" borderId="0" xfId="0" applyFont="1" applyFill="1" applyAlignment="1">
      <alignment wrapText="1"/>
    </xf>
    <xf numFmtId="0" fontId="0" fillId="38" borderId="10" xfId="0" applyFill="1" applyBorder="1"/>
    <xf numFmtId="0" fontId="0" fillId="38" borderId="11" xfId="0" applyFill="1" applyBorder="1"/>
    <xf numFmtId="0" fontId="12" fillId="38" borderId="11" xfId="0" applyFont="1" applyFill="1" applyBorder="1"/>
    <xf numFmtId="0" fontId="0" fillId="38" borderId="11" xfId="0" applyFill="1" applyBorder="1" applyAlignment="1">
      <alignment horizontal="right"/>
    </xf>
    <xf numFmtId="0" fontId="0" fillId="38" borderId="27" xfId="0" applyFill="1" applyBorder="1"/>
    <xf numFmtId="2" fontId="0" fillId="38" borderId="25" xfId="0" applyNumberFormat="1" applyFill="1" applyBorder="1"/>
    <xf numFmtId="0" fontId="25" fillId="39" borderId="0" xfId="0" applyFont="1" applyFill="1" applyAlignment="1">
      <alignment horizontal="center" vertical="center" textRotation="90"/>
    </xf>
    <xf numFmtId="0" fontId="6" fillId="35" borderId="0" xfId="0" applyFont="1" applyFill="1"/>
    <xf numFmtId="0" fontId="26" fillId="33" borderId="0" xfId="0" applyFont="1" applyFill="1"/>
    <xf numFmtId="0" fontId="9" fillId="40" borderId="0" xfId="0" applyFont="1" applyFill="1"/>
    <xf numFmtId="0" fontId="6" fillId="40" borderId="0" xfId="0" applyFont="1" applyFill="1"/>
    <xf numFmtId="0" fontId="32" fillId="0" borderId="0" xfId="0" applyFont="1"/>
    <xf numFmtId="0" fontId="5" fillId="42" borderId="0" xfId="0" applyFont="1" applyFill="1"/>
    <xf numFmtId="0" fontId="6" fillId="42" borderId="0" xfId="0" applyFont="1" applyFill="1"/>
    <xf numFmtId="0" fontId="0" fillId="23" borderId="0" xfId="0" applyFill="1" applyAlignment="1">
      <alignment horizontal="left"/>
    </xf>
    <xf numFmtId="0" fontId="0" fillId="18" borderId="0" xfId="0" applyFill="1" applyAlignment="1">
      <alignment horizontal="left"/>
    </xf>
    <xf numFmtId="0" fontId="25" fillId="37" borderId="0" xfId="0" applyFont="1" applyFill="1" applyAlignment="1">
      <alignment horizontal="center" vertical="center" textRotation="90"/>
    </xf>
    <xf numFmtId="0" fontId="34" fillId="0" borderId="0" xfId="0" applyFont="1" applyAlignment="1">
      <alignment horizontal="center" vertical="center" wrapText="1"/>
    </xf>
    <xf numFmtId="0" fontId="35" fillId="0" borderId="0" xfId="0" applyFont="1"/>
    <xf numFmtId="0" fontId="0" fillId="0" borderId="11" xfId="0" applyBorder="1"/>
    <xf numFmtId="0" fontId="18" fillId="0" borderId="7" xfId="0" applyFont="1" applyBorder="1" applyAlignment="1">
      <alignment horizontal="center"/>
    </xf>
    <xf numFmtId="0" fontId="18" fillId="0" borderId="7" xfId="0" applyFont="1" applyBorder="1" applyAlignment="1">
      <alignment horizontal="centerContinuous"/>
    </xf>
    <xf numFmtId="0" fontId="1" fillId="0" borderId="0" xfId="1" applyFill="1" applyBorder="1"/>
    <xf numFmtId="0" fontId="16" fillId="15" borderId="0" xfId="2" applyFont="1" applyFill="1"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13" fillId="0" borderId="33"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3" xfId="0" applyFont="1" applyBorder="1" applyAlignment="1">
      <alignment horizontal="center" vertic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5" fillId="15" borderId="0" xfId="0" applyFont="1" applyFill="1" applyAlignment="1">
      <alignment horizontal="center" vertical="center"/>
    </xf>
    <xf numFmtId="0" fontId="17" fillId="15" borderId="0" xfId="0" applyFont="1" applyFill="1" applyAlignment="1">
      <alignment horizontal="center" vertical="center" wrapText="1"/>
    </xf>
    <xf numFmtId="0" fontId="17" fillId="15" borderId="0" xfId="0" applyFont="1" applyFill="1" applyAlignment="1">
      <alignment horizontal="center" vertical="center"/>
    </xf>
    <xf numFmtId="0" fontId="21" fillId="20" borderId="18" xfId="0" applyFont="1" applyFill="1" applyBorder="1" applyAlignment="1">
      <alignment horizontal="left" vertical="center" wrapText="1"/>
    </xf>
    <xf numFmtId="0" fontId="21" fillId="20" borderId="0" xfId="0" applyFont="1" applyFill="1" applyAlignment="1">
      <alignment horizontal="left" vertical="center" wrapText="1"/>
    </xf>
    <xf numFmtId="0" fontId="20" fillId="18" borderId="0" xfId="0" applyFont="1" applyFill="1" applyAlignment="1">
      <alignment horizontal="center" vertical="center" textRotation="90" wrapText="1"/>
    </xf>
    <xf numFmtId="0" fontId="20" fillId="23" borderId="0" xfId="0" applyFont="1" applyFill="1" applyAlignment="1">
      <alignment horizontal="center" vertical="center" textRotation="90" wrapText="1"/>
    </xf>
    <xf numFmtId="0" fontId="25" fillId="37" borderId="0" xfId="0" applyFont="1" applyFill="1" applyAlignment="1">
      <alignment horizontal="center" vertical="center" textRotation="90"/>
    </xf>
    <xf numFmtId="0" fontId="25" fillId="21" borderId="0" xfId="0" applyFont="1" applyFill="1" applyAlignment="1">
      <alignment horizontal="center" vertical="center" textRotation="90"/>
    </xf>
    <xf numFmtId="0" fontId="6" fillId="27" borderId="0" xfId="0" applyFont="1" applyFill="1" applyAlignment="1">
      <alignment horizontal="left" vertical="top" wrapText="1"/>
    </xf>
    <xf numFmtId="0" fontId="6" fillId="27" borderId="0" xfId="0" applyFont="1" applyFill="1" applyAlignment="1">
      <alignment horizontal="left" wrapText="1"/>
    </xf>
    <xf numFmtId="0" fontId="20" fillId="38" borderId="0" xfId="0" applyFont="1" applyFill="1" applyAlignment="1">
      <alignment horizontal="center" vertical="center" textRotation="90" wrapText="1"/>
    </xf>
    <xf numFmtId="0" fontId="0" fillId="38" borderId="0" xfId="0" applyFill="1" applyAlignment="1">
      <alignment horizontal="left"/>
    </xf>
    <xf numFmtId="0" fontId="6" fillId="13" borderId="0" xfId="0" applyFont="1" applyFill="1" applyAlignment="1">
      <alignment horizontal="left" wrapText="1"/>
    </xf>
    <xf numFmtId="0" fontId="6" fillId="11" borderId="0" xfId="0" applyFont="1" applyFill="1" applyAlignment="1">
      <alignment horizontal="left" vertical="center" wrapText="1"/>
    </xf>
    <xf numFmtId="0" fontId="2" fillId="9" borderId="0" xfId="0" applyFont="1" applyFill="1" applyAlignment="1">
      <alignment horizontal="left" vertical="center" wrapText="1"/>
    </xf>
    <xf numFmtId="0" fontId="26" fillId="26" borderId="0" xfId="0" applyFont="1" applyFill="1" applyAlignment="1">
      <alignment horizontal="center"/>
    </xf>
    <xf numFmtId="0" fontId="26" fillId="27" borderId="0" xfId="0" applyFont="1" applyFill="1" applyAlignment="1">
      <alignment horizontal="center"/>
    </xf>
    <xf numFmtId="0" fontId="26" fillId="41" borderId="0" xfId="0" applyFont="1" applyFill="1" applyAlignment="1">
      <alignment horizontal="center"/>
    </xf>
    <xf numFmtId="0" fontId="6" fillId="0" borderId="0" xfId="0" applyFont="1" applyAlignment="1">
      <alignment horizontal="left" wrapText="1"/>
    </xf>
    <xf numFmtId="0" fontId="6" fillId="0" borderId="0" xfId="0" applyFont="1" applyAlignment="1">
      <alignment horizontal="left"/>
    </xf>
    <xf numFmtId="0" fontId="6" fillId="34" borderId="0" xfId="0" applyFont="1" applyFill="1" applyAlignment="1">
      <alignment horizontal="left" wrapText="1"/>
    </xf>
    <xf numFmtId="0" fontId="26" fillId="22" borderId="0" xfId="0" applyFont="1" applyFill="1" applyAlignment="1">
      <alignment horizontal="center"/>
    </xf>
    <xf numFmtId="0" fontId="26" fillId="35" borderId="0" xfId="0" applyFont="1" applyFill="1" applyAlignment="1">
      <alignment horizontal="center"/>
    </xf>
    <xf numFmtId="0" fontId="6" fillId="34" borderId="0" xfId="0" applyFont="1" applyFill="1" applyAlignment="1">
      <alignment horizontal="left" vertical="center" wrapText="1"/>
    </xf>
    <xf numFmtId="0" fontId="3" fillId="0" borderId="0" xfId="0" applyFont="1" applyAlignment="1">
      <alignment horizontal="left" wrapText="1"/>
    </xf>
    <xf numFmtId="0" fontId="26" fillId="33" borderId="0" xfId="0" applyFont="1" applyFill="1" applyAlignment="1">
      <alignment horizontal="left" wrapText="1"/>
    </xf>
    <xf numFmtId="0" fontId="36" fillId="39" borderId="0" xfId="0" applyFont="1" applyFill="1"/>
    <xf numFmtId="0" fontId="6" fillId="43" borderId="0" xfId="0" applyFont="1" applyFill="1" applyAlignment="1">
      <alignment horizontal="left" vertical="center" wrapText="1"/>
    </xf>
  </cellXfs>
  <cellStyles count="3">
    <cellStyle name="Lien hypertexte" xfId="1" builtinId="8"/>
    <cellStyle name="Normal" xfId="0" builtinId="0"/>
    <cellStyle name="Normal 2" xfId="2" xr:uid="{DF3ED799-4999-4CE2-8BC7-336ADE203389}"/>
  </cellStyles>
  <dxfs count="6">
    <dxf>
      <fill>
        <patternFill>
          <bgColor theme="4" tint="0.59996337778862885"/>
        </patternFill>
      </fill>
    </dxf>
    <dxf>
      <font>
        <strike val="0"/>
      </font>
      <fill>
        <patternFill>
          <fgColor rgb="FFEAC3FF"/>
          <bgColor rgb="FFEAC3FF"/>
        </patternFill>
      </fill>
    </dxf>
    <dxf>
      <fill>
        <patternFill>
          <bgColor theme="4" tint="0.59996337778862885"/>
        </patternFill>
      </fill>
    </dxf>
    <dxf>
      <font>
        <strike val="0"/>
      </font>
      <fill>
        <patternFill>
          <fgColor rgb="FFEAC3FF"/>
          <bgColor rgb="FFEAC3FF"/>
        </patternFill>
      </fill>
    </dxf>
    <dxf>
      <fill>
        <patternFill>
          <bgColor theme="4" tint="0.59996337778862885"/>
        </patternFill>
      </fill>
    </dxf>
    <dxf>
      <font>
        <strike val="0"/>
      </font>
      <fill>
        <patternFill>
          <fgColor rgb="FFEAC3FF"/>
          <bgColor rgb="FFEAC3FF"/>
        </patternFill>
      </fill>
    </dxf>
  </dxfs>
  <tableStyles count="0" defaultTableStyle="TableStyleMedium2" defaultPivotStyle="PivotStyleLight16"/>
  <colors>
    <mruColors>
      <color rgb="FFFF9B9B"/>
      <color rgb="FFFFDDFF"/>
      <color rgb="FFFFFFCC"/>
      <color rgb="FFE2EFDA"/>
      <color rgb="FFFFFFE7"/>
      <color rgb="FFFF6969"/>
      <color rgb="FFFE0000"/>
      <color rgb="FFFFCCFF"/>
      <color rgb="FFFFCC66"/>
      <color rgb="FFFFFF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Répartition</a:t>
            </a:r>
            <a:r>
              <a:rPr lang="fr-CH" baseline="0"/>
              <a:t> des enfants NT en fct du score d'attention sélective G </a:t>
            </a:r>
            <a:endParaRPr lang="fr-C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'Analyses descriptives'!$B$259:$B$265</c:f>
              <c:strCache>
                <c:ptCount val="7"/>
                <c:pt idx="0">
                  <c:v>0 à 0,9</c:v>
                </c:pt>
                <c:pt idx="1">
                  <c:v>1 à 1,9</c:v>
                </c:pt>
                <c:pt idx="2">
                  <c:v>2 à 2,9</c:v>
                </c:pt>
                <c:pt idx="3">
                  <c:v>3 à 3,9</c:v>
                </c:pt>
                <c:pt idx="4">
                  <c:v>4 à 4,9</c:v>
                </c:pt>
                <c:pt idx="5">
                  <c:v>5 à 5,9</c:v>
                </c:pt>
                <c:pt idx="6">
                  <c:v>&gt; 6</c:v>
                </c:pt>
              </c:strCache>
            </c:strRef>
          </c:cat>
          <c:val>
            <c:numRef>
              <c:f>'Analyses descriptives'!$C$259:$C$265</c:f>
              <c:numCache>
                <c:formatCode>General</c:formatCode>
                <c:ptCount val="7"/>
                <c:pt idx="0">
                  <c:v>0</c:v>
                </c:pt>
                <c:pt idx="1">
                  <c:v>0</c:v>
                </c:pt>
                <c:pt idx="2">
                  <c:v>1</c:v>
                </c:pt>
                <c:pt idx="3">
                  <c:v>3</c:v>
                </c:pt>
                <c:pt idx="4">
                  <c:v>5</c:v>
                </c:pt>
                <c:pt idx="5">
                  <c:v>1</c:v>
                </c:pt>
                <c:pt idx="6">
                  <c:v>0</c:v>
                </c:pt>
              </c:numCache>
            </c:numRef>
          </c:val>
          <c:extLst>
            <c:ext xmlns:c16="http://schemas.microsoft.com/office/drawing/2014/chart" uri="{C3380CC4-5D6E-409C-BE32-E72D297353CC}">
              <c16:uniqueId val="{00000000-1DAC-47A9-AC65-F653EDC30D2E}"/>
            </c:ext>
          </c:extLst>
        </c:ser>
        <c:dLbls>
          <c:showLegendKey val="0"/>
          <c:showVal val="0"/>
          <c:showCatName val="0"/>
          <c:showSerName val="0"/>
          <c:showPercent val="0"/>
          <c:showBubbleSize val="0"/>
        </c:dLbls>
        <c:gapWidth val="219"/>
        <c:overlap val="-27"/>
        <c:axId val="301614303"/>
        <c:axId val="301614719"/>
      </c:barChart>
      <c:catAx>
        <c:axId val="301614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719"/>
        <c:crossesAt val="0"/>
        <c:auto val="1"/>
        <c:lblAlgn val="ctr"/>
        <c:lblOffset val="100"/>
        <c:noMultiLvlLbl val="0"/>
      </c:catAx>
      <c:valAx>
        <c:axId val="3016147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3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Répartition</a:t>
            </a:r>
            <a:r>
              <a:rPr lang="fr-CH" baseline="0"/>
              <a:t> des enfants NT en fct de leur âge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'Analyses descriptives'!$B$191:$B$196</c:f>
              <c:strCache>
                <c:ptCount val="6"/>
                <c:pt idx="0">
                  <c:v>7;0 à 7;1</c:v>
                </c:pt>
                <c:pt idx="1">
                  <c:v>7;2 à 7;3</c:v>
                </c:pt>
                <c:pt idx="2">
                  <c:v>7;4 à 7;5</c:v>
                </c:pt>
                <c:pt idx="3">
                  <c:v>7;6 à 7;7</c:v>
                </c:pt>
                <c:pt idx="4">
                  <c:v>7;8 à 7;9</c:v>
                </c:pt>
                <c:pt idx="5">
                  <c:v>7;11 à 8</c:v>
                </c:pt>
              </c:strCache>
            </c:strRef>
          </c:cat>
          <c:val>
            <c:numRef>
              <c:f>'Analyses descriptives'!$C$191:$C$196</c:f>
              <c:numCache>
                <c:formatCode>General</c:formatCode>
                <c:ptCount val="6"/>
                <c:pt idx="0">
                  <c:v>0</c:v>
                </c:pt>
                <c:pt idx="1">
                  <c:v>1</c:v>
                </c:pt>
                <c:pt idx="2">
                  <c:v>3</c:v>
                </c:pt>
                <c:pt idx="3">
                  <c:v>2</c:v>
                </c:pt>
                <c:pt idx="4">
                  <c:v>2</c:v>
                </c:pt>
                <c:pt idx="5">
                  <c:v>2</c:v>
                </c:pt>
              </c:numCache>
            </c:numRef>
          </c:val>
          <c:extLst>
            <c:ext xmlns:c16="http://schemas.microsoft.com/office/drawing/2014/chart" uri="{C3380CC4-5D6E-409C-BE32-E72D297353CC}">
              <c16:uniqueId val="{00000000-4801-41FD-8E73-08462C03AB31}"/>
            </c:ext>
          </c:extLst>
        </c:ser>
        <c:dLbls>
          <c:showLegendKey val="0"/>
          <c:showVal val="0"/>
          <c:showCatName val="0"/>
          <c:showSerName val="0"/>
          <c:showPercent val="0"/>
          <c:showBubbleSize val="0"/>
        </c:dLbls>
        <c:gapWidth val="219"/>
        <c:overlap val="-27"/>
        <c:axId val="301614303"/>
        <c:axId val="301614719"/>
      </c:barChart>
      <c:catAx>
        <c:axId val="301614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719"/>
        <c:crossesAt val="0"/>
        <c:auto val="1"/>
        <c:lblAlgn val="ctr"/>
        <c:lblOffset val="100"/>
        <c:noMultiLvlLbl val="0"/>
      </c:catAx>
      <c:valAx>
        <c:axId val="3016147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3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Répartition</a:t>
            </a:r>
            <a:r>
              <a:rPr lang="fr-CH" baseline="0"/>
              <a:t> des enfants NP en fct de leur âge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'Analyses descriptives'!$B$332:$B$337</c:f>
              <c:strCache>
                <c:ptCount val="6"/>
                <c:pt idx="0">
                  <c:v>7;0 à 7;1</c:v>
                </c:pt>
                <c:pt idx="1">
                  <c:v>7;2 à 7;3</c:v>
                </c:pt>
                <c:pt idx="2">
                  <c:v>7;4 à 7;5</c:v>
                </c:pt>
                <c:pt idx="3">
                  <c:v>7;6 à 7;7</c:v>
                </c:pt>
                <c:pt idx="4">
                  <c:v>7;8 à 7;9</c:v>
                </c:pt>
                <c:pt idx="5">
                  <c:v>7;11 à 8</c:v>
                </c:pt>
              </c:strCache>
            </c:strRef>
          </c:cat>
          <c:val>
            <c:numRef>
              <c:f>'Analyses descriptives'!$C$332:$C$337</c:f>
              <c:numCache>
                <c:formatCode>General</c:formatCode>
                <c:ptCount val="6"/>
                <c:pt idx="0">
                  <c:v>0</c:v>
                </c:pt>
                <c:pt idx="1">
                  <c:v>0</c:v>
                </c:pt>
                <c:pt idx="2">
                  <c:v>3</c:v>
                </c:pt>
                <c:pt idx="3">
                  <c:v>1</c:v>
                </c:pt>
                <c:pt idx="4">
                  <c:v>4</c:v>
                </c:pt>
                <c:pt idx="5">
                  <c:v>2</c:v>
                </c:pt>
              </c:numCache>
            </c:numRef>
          </c:val>
          <c:extLst>
            <c:ext xmlns:c16="http://schemas.microsoft.com/office/drawing/2014/chart" uri="{C3380CC4-5D6E-409C-BE32-E72D297353CC}">
              <c16:uniqueId val="{00000000-C241-4F93-BA3D-F00A975BAA7B}"/>
            </c:ext>
          </c:extLst>
        </c:ser>
        <c:dLbls>
          <c:showLegendKey val="0"/>
          <c:showVal val="0"/>
          <c:showCatName val="0"/>
          <c:showSerName val="0"/>
          <c:showPercent val="0"/>
          <c:showBubbleSize val="0"/>
        </c:dLbls>
        <c:gapWidth val="219"/>
        <c:overlap val="-27"/>
        <c:axId val="301614303"/>
        <c:axId val="301614719"/>
      </c:barChart>
      <c:catAx>
        <c:axId val="301614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719"/>
        <c:crossesAt val="0"/>
        <c:auto val="1"/>
        <c:lblAlgn val="ctr"/>
        <c:lblOffset val="100"/>
        <c:noMultiLvlLbl val="0"/>
      </c:catAx>
      <c:valAx>
        <c:axId val="3016147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3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Répartition</a:t>
            </a:r>
            <a:r>
              <a:rPr lang="fr-CH" baseline="0"/>
              <a:t> de la totalité des enfants en fct de leur âge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'Analyses descriptives'!$B$50:$B$55</c:f>
              <c:strCache>
                <c:ptCount val="6"/>
                <c:pt idx="0">
                  <c:v>7;0 à 7;1</c:v>
                </c:pt>
                <c:pt idx="1">
                  <c:v>7;2 à 7;3</c:v>
                </c:pt>
                <c:pt idx="2">
                  <c:v>7;4 à 7;5</c:v>
                </c:pt>
                <c:pt idx="3">
                  <c:v>7;6 à 7;7</c:v>
                </c:pt>
                <c:pt idx="4">
                  <c:v>7;8 à 7;9</c:v>
                </c:pt>
                <c:pt idx="5">
                  <c:v>7;11 à 8</c:v>
                </c:pt>
              </c:strCache>
            </c:strRef>
          </c:cat>
          <c:val>
            <c:numRef>
              <c:f>'Analyses descriptives'!$C$50:$C$55</c:f>
              <c:numCache>
                <c:formatCode>General</c:formatCode>
                <c:ptCount val="6"/>
                <c:pt idx="0">
                  <c:v>0</c:v>
                </c:pt>
                <c:pt idx="1">
                  <c:v>1</c:v>
                </c:pt>
                <c:pt idx="2">
                  <c:v>6</c:v>
                </c:pt>
                <c:pt idx="3">
                  <c:v>3</c:v>
                </c:pt>
                <c:pt idx="4">
                  <c:v>6</c:v>
                </c:pt>
                <c:pt idx="5">
                  <c:v>4</c:v>
                </c:pt>
              </c:numCache>
            </c:numRef>
          </c:val>
          <c:extLst>
            <c:ext xmlns:c16="http://schemas.microsoft.com/office/drawing/2014/chart" uri="{C3380CC4-5D6E-409C-BE32-E72D297353CC}">
              <c16:uniqueId val="{00000000-B4B2-441B-BC38-BB51954BB443}"/>
            </c:ext>
          </c:extLst>
        </c:ser>
        <c:dLbls>
          <c:showLegendKey val="0"/>
          <c:showVal val="0"/>
          <c:showCatName val="0"/>
          <c:showSerName val="0"/>
          <c:showPercent val="0"/>
          <c:showBubbleSize val="0"/>
        </c:dLbls>
        <c:gapWidth val="219"/>
        <c:overlap val="-27"/>
        <c:axId val="301614303"/>
        <c:axId val="301614719"/>
      </c:barChart>
      <c:catAx>
        <c:axId val="301614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719"/>
        <c:crossesAt val="0"/>
        <c:auto val="1"/>
        <c:lblAlgn val="ctr"/>
        <c:lblOffset val="100"/>
        <c:noMultiLvlLbl val="0"/>
      </c:catAx>
      <c:valAx>
        <c:axId val="3016147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3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Répartition</a:t>
            </a:r>
            <a:r>
              <a:rPr lang="fr-CH" baseline="0"/>
              <a:t> des enfants NT en fct du score d'attention sélective U</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'Analyses descriptives'!$B$293:$B$299</c:f>
              <c:strCache>
                <c:ptCount val="7"/>
                <c:pt idx="0">
                  <c:v>0 à 9</c:v>
                </c:pt>
                <c:pt idx="1">
                  <c:v>10 à 19</c:v>
                </c:pt>
                <c:pt idx="2">
                  <c:v>20 à 29</c:v>
                </c:pt>
                <c:pt idx="3">
                  <c:v>30 à 39</c:v>
                </c:pt>
                <c:pt idx="4">
                  <c:v>40 à 49</c:v>
                </c:pt>
                <c:pt idx="5">
                  <c:v>50 à 59</c:v>
                </c:pt>
                <c:pt idx="6">
                  <c:v>&gt;= 60</c:v>
                </c:pt>
              </c:strCache>
            </c:strRef>
          </c:cat>
          <c:val>
            <c:numRef>
              <c:f>'Analyses descriptives'!$C$293:$C$299</c:f>
              <c:numCache>
                <c:formatCode>General</c:formatCode>
                <c:ptCount val="7"/>
                <c:pt idx="0">
                  <c:v>0</c:v>
                </c:pt>
                <c:pt idx="1">
                  <c:v>2</c:v>
                </c:pt>
                <c:pt idx="2">
                  <c:v>6</c:v>
                </c:pt>
                <c:pt idx="3">
                  <c:v>1</c:v>
                </c:pt>
                <c:pt idx="4">
                  <c:v>1</c:v>
                </c:pt>
                <c:pt idx="5">
                  <c:v>0</c:v>
                </c:pt>
                <c:pt idx="6">
                  <c:v>0</c:v>
                </c:pt>
              </c:numCache>
            </c:numRef>
          </c:val>
          <c:extLst>
            <c:ext xmlns:c16="http://schemas.microsoft.com/office/drawing/2014/chart" uri="{C3380CC4-5D6E-409C-BE32-E72D297353CC}">
              <c16:uniqueId val="{00000000-26DA-44D6-93F8-1690088A8399}"/>
            </c:ext>
          </c:extLst>
        </c:ser>
        <c:dLbls>
          <c:showLegendKey val="0"/>
          <c:showVal val="0"/>
          <c:showCatName val="0"/>
          <c:showSerName val="0"/>
          <c:showPercent val="0"/>
          <c:showBubbleSize val="0"/>
        </c:dLbls>
        <c:gapWidth val="219"/>
        <c:overlap val="-27"/>
        <c:axId val="301614303"/>
        <c:axId val="301614719"/>
      </c:barChart>
      <c:catAx>
        <c:axId val="301614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719"/>
        <c:crossesAt val="0"/>
        <c:auto val="1"/>
        <c:lblAlgn val="ctr"/>
        <c:lblOffset val="100"/>
        <c:noMultiLvlLbl val="0"/>
      </c:catAx>
      <c:valAx>
        <c:axId val="3016147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3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Répartition</a:t>
            </a:r>
            <a:r>
              <a:rPr lang="fr-CH" baseline="0"/>
              <a:t> des enfants NT en fct du score d'équilibre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'Analyses descriptives'!$B$225:$B$230</c:f>
              <c:strCache>
                <c:ptCount val="6"/>
                <c:pt idx="0">
                  <c:v>0 à 3</c:v>
                </c:pt>
                <c:pt idx="1">
                  <c:v>4 à 7</c:v>
                </c:pt>
                <c:pt idx="2">
                  <c:v>8 à 11</c:v>
                </c:pt>
                <c:pt idx="3">
                  <c:v>12 à 15</c:v>
                </c:pt>
                <c:pt idx="4">
                  <c:v>16 à 19</c:v>
                </c:pt>
                <c:pt idx="5">
                  <c:v>&gt;20</c:v>
                </c:pt>
              </c:strCache>
            </c:strRef>
          </c:cat>
          <c:val>
            <c:numRef>
              <c:f>'Analyses descriptives'!$C$225:$C$230</c:f>
              <c:numCache>
                <c:formatCode>General</c:formatCode>
                <c:ptCount val="6"/>
                <c:pt idx="0">
                  <c:v>0</c:v>
                </c:pt>
                <c:pt idx="1">
                  <c:v>1</c:v>
                </c:pt>
                <c:pt idx="2">
                  <c:v>5</c:v>
                </c:pt>
                <c:pt idx="3">
                  <c:v>3</c:v>
                </c:pt>
                <c:pt idx="4">
                  <c:v>1</c:v>
                </c:pt>
                <c:pt idx="5">
                  <c:v>0</c:v>
                </c:pt>
              </c:numCache>
            </c:numRef>
          </c:val>
          <c:extLst>
            <c:ext xmlns:c16="http://schemas.microsoft.com/office/drawing/2014/chart" uri="{C3380CC4-5D6E-409C-BE32-E72D297353CC}">
              <c16:uniqueId val="{00000000-BB7A-4B31-A5E8-74D170B4423F}"/>
            </c:ext>
          </c:extLst>
        </c:ser>
        <c:dLbls>
          <c:showLegendKey val="0"/>
          <c:showVal val="0"/>
          <c:showCatName val="0"/>
          <c:showSerName val="0"/>
          <c:showPercent val="0"/>
          <c:showBubbleSize val="0"/>
        </c:dLbls>
        <c:gapWidth val="219"/>
        <c:overlap val="-27"/>
        <c:axId val="301614303"/>
        <c:axId val="301614719"/>
      </c:barChart>
      <c:catAx>
        <c:axId val="301614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719"/>
        <c:crossesAt val="0"/>
        <c:auto val="1"/>
        <c:lblAlgn val="ctr"/>
        <c:lblOffset val="100"/>
        <c:noMultiLvlLbl val="0"/>
      </c:catAx>
      <c:valAx>
        <c:axId val="3016147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3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Répartition</a:t>
            </a:r>
            <a:r>
              <a:rPr lang="fr-CH" baseline="0"/>
              <a:t> des enfants NP en fct du score d'attention sélective G </a:t>
            </a:r>
            <a:endParaRPr lang="fr-C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'Analyses descriptives'!$B$400:$B$406</c:f>
              <c:strCache>
                <c:ptCount val="7"/>
                <c:pt idx="0">
                  <c:v>0 à 0,9</c:v>
                </c:pt>
                <c:pt idx="1">
                  <c:v>1 à 1,9</c:v>
                </c:pt>
                <c:pt idx="2">
                  <c:v>2 à 2,9</c:v>
                </c:pt>
                <c:pt idx="3">
                  <c:v>3 à 3,9</c:v>
                </c:pt>
                <c:pt idx="4">
                  <c:v>4 à 4,9</c:v>
                </c:pt>
                <c:pt idx="5">
                  <c:v>5 à 5,9</c:v>
                </c:pt>
                <c:pt idx="6">
                  <c:v>&gt; 6</c:v>
                </c:pt>
              </c:strCache>
            </c:strRef>
          </c:cat>
          <c:val>
            <c:numRef>
              <c:f>'Analyses descriptives'!$C$400:$C$406</c:f>
              <c:numCache>
                <c:formatCode>General</c:formatCode>
                <c:ptCount val="7"/>
                <c:pt idx="0">
                  <c:v>0</c:v>
                </c:pt>
                <c:pt idx="1">
                  <c:v>0</c:v>
                </c:pt>
                <c:pt idx="2">
                  <c:v>0</c:v>
                </c:pt>
                <c:pt idx="3">
                  <c:v>2</c:v>
                </c:pt>
                <c:pt idx="4">
                  <c:v>1</c:v>
                </c:pt>
                <c:pt idx="5">
                  <c:v>3</c:v>
                </c:pt>
                <c:pt idx="6">
                  <c:v>4</c:v>
                </c:pt>
              </c:numCache>
            </c:numRef>
          </c:val>
          <c:extLst>
            <c:ext xmlns:c16="http://schemas.microsoft.com/office/drawing/2014/chart" uri="{C3380CC4-5D6E-409C-BE32-E72D297353CC}">
              <c16:uniqueId val="{00000000-A903-43A6-B331-EBB00E963F0E}"/>
            </c:ext>
          </c:extLst>
        </c:ser>
        <c:dLbls>
          <c:showLegendKey val="0"/>
          <c:showVal val="0"/>
          <c:showCatName val="0"/>
          <c:showSerName val="0"/>
          <c:showPercent val="0"/>
          <c:showBubbleSize val="0"/>
        </c:dLbls>
        <c:gapWidth val="219"/>
        <c:overlap val="-27"/>
        <c:axId val="301614303"/>
        <c:axId val="301614719"/>
      </c:barChart>
      <c:catAx>
        <c:axId val="301614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719"/>
        <c:crossesAt val="0"/>
        <c:auto val="1"/>
        <c:lblAlgn val="ctr"/>
        <c:lblOffset val="100"/>
        <c:noMultiLvlLbl val="0"/>
      </c:catAx>
      <c:valAx>
        <c:axId val="3016147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3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Répartition</a:t>
            </a:r>
            <a:r>
              <a:rPr lang="fr-CH" baseline="0"/>
              <a:t> des enfants NP en fct du score d'attention sélective U</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'Analyses descriptives'!$B$434:$B$440</c:f>
              <c:strCache>
                <c:ptCount val="7"/>
                <c:pt idx="0">
                  <c:v>0 à 9</c:v>
                </c:pt>
                <c:pt idx="1">
                  <c:v>10 à 19</c:v>
                </c:pt>
                <c:pt idx="2">
                  <c:v>20 à 29</c:v>
                </c:pt>
                <c:pt idx="3">
                  <c:v>30 à 39</c:v>
                </c:pt>
                <c:pt idx="4">
                  <c:v>40 à 49</c:v>
                </c:pt>
                <c:pt idx="5">
                  <c:v>50 à 59</c:v>
                </c:pt>
                <c:pt idx="6">
                  <c:v>&gt;= 60</c:v>
                </c:pt>
              </c:strCache>
            </c:strRef>
          </c:cat>
          <c:val>
            <c:numRef>
              <c:f>'Analyses descriptives'!$C$434:$C$440</c:f>
              <c:numCache>
                <c:formatCode>General</c:formatCode>
                <c:ptCount val="7"/>
                <c:pt idx="0">
                  <c:v>0</c:v>
                </c:pt>
                <c:pt idx="1">
                  <c:v>7</c:v>
                </c:pt>
                <c:pt idx="2">
                  <c:v>3</c:v>
                </c:pt>
                <c:pt idx="3">
                  <c:v>0</c:v>
                </c:pt>
                <c:pt idx="4">
                  <c:v>0</c:v>
                </c:pt>
                <c:pt idx="5">
                  <c:v>0</c:v>
                </c:pt>
                <c:pt idx="6">
                  <c:v>0</c:v>
                </c:pt>
              </c:numCache>
            </c:numRef>
          </c:val>
          <c:extLst>
            <c:ext xmlns:c16="http://schemas.microsoft.com/office/drawing/2014/chart" uri="{C3380CC4-5D6E-409C-BE32-E72D297353CC}">
              <c16:uniqueId val="{00000000-5916-4D6A-AE28-878FD922BB63}"/>
            </c:ext>
          </c:extLst>
        </c:ser>
        <c:dLbls>
          <c:showLegendKey val="0"/>
          <c:showVal val="0"/>
          <c:showCatName val="0"/>
          <c:showSerName val="0"/>
          <c:showPercent val="0"/>
          <c:showBubbleSize val="0"/>
        </c:dLbls>
        <c:gapWidth val="219"/>
        <c:overlap val="-27"/>
        <c:axId val="301614303"/>
        <c:axId val="301614719"/>
      </c:barChart>
      <c:catAx>
        <c:axId val="301614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719"/>
        <c:crossesAt val="0"/>
        <c:auto val="1"/>
        <c:lblAlgn val="ctr"/>
        <c:lblOffset val="100"/>
        <c:noMultiLvlLbl val="0"/>
      </c:catAx>
      <c:valAx>
        <c:axId val="3016147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3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Répartition</a:t>
            </a:r>
            <a:r>
              <a:rPr lang="fr-CH" baseline="0"/>
              <a:t> des enfants NP en fct du score d'équilibre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'Analyses descriptives'!$B$366:$B$372</c:f>
              <c:strCache>
                <c:ptCount val="6"/>
                <c:pt idx="0">
                  <c:v>0 à 3</c:v>
                </c:pt>
                <c:pt idx="1">
                  <c:v>4 à 7</c:v>
                </c:pt>
                <c:pt idx="2">
                  <c:v>8 à 11</c:v>
                </c:pt>
                <c:pt idx="3">
                  <c:v>12 à 15</c:v>
                </c:pt>
                <c:pt idx="4">
                  <c:v>16 à 19</c:v>
                </c:pt>
                <c:pt idx="5">
                  <c:v>&gt;20</c:v>
                </c:pt>
              </c:strCache>
            </c:strRef>
          </c:cat>
          <c:val>
            <c:numRef>
              <c:f>'Analyses descriptives'!$C$366:$C$372</c:f>
              <c:numCache>
                <c:formatCode>General</c:formatCode>
                <c:ptCount val="7"/>
                <c:pt idx="0">
                  <c:v>0</c:v>
                </c:pt>
                <c:pt idx="1">
                  <c:v>7</c:v>
                </c:pt>
                <c:pt idx="2">
                  <c:v>1</c:v>
                </c:pt>
                <c:pt idx="3">
                  <c:v>2</c:v>
                </c:pt>
                <c:pt idx="4">
                  <c:v>0</c:v>
                </c:pt>
                <c:pt idx="5">
                  <c:v>0</c:v>
                </c:pt>
              </c:numCache>
            </c:numRef>
          </c:val>
          <c:extLst>
            <c:ext xmlns:c16="http://schemas.microsoft.com/office/drawing/2014/chart" uri="{C3380CC4-5D6E-409C-BE32-E72D297353CC}">
              <c16:uniqueId val="{00000000-70C0-4F82-842C-CECB8C7AF170}"/>
            </c:ext>
          </c:extLst>
        </c:ser>
        <c:dLbls>
          <c:showLegendKey val="0"/>
          <c:showVal val="0"/>
          <c:showCatName val="0"/>
          <c:showSerName val="0"/>
          <c:showPercent val="0"/>
          <c:showBubbleSize val="0"/>
        </c:dLbls>
        <c:gapWidth val="219"/>
        <c:overlap val="-27"/>
        <c:axId val="301614303"/>
        <c:axId val="301614719"/>
      </c:barChart>
      <c:catAx>
        <c:axId val="301614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719"/>
        <c:crossesAt val="0"/>
        <c:auto val="1"/>
        <c:lblAlgn val="ctr"/>
        <c:lblOffset val="100"/>
        <c:noMultiLvlLbl val="0"/>
      </c:catAx>
      <c:valAx>
        <c:axId val="3016147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3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Répartition</a:t>
            </a:r>
            <a:r>
              <a:rPr lang="fr-CH" baseline="0"/>
              <a:t> de la totalité des enfants en fct du score d'attention sélective G </a:t>
            </a:r>
            <a:endParaRPr lang="fr-C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'Analyses descriptives'!$B$118:$B$124</c:f>
              <c:strCache>
                <c:ptCount val="7"/>
                <c:pt idx="0">
                  <c:v>0 à 0,9</c:v>
                </c:pt>
                <c:pt idx="1">
                  <c:v>1 à 1,9</c:v>
                </c:pt>
                <c:pt idx="2">
                  <c:v>2 à 2,9</c:v>
                </c:pt>
                <c:pt idx="3">
                  <c:v>3 à 3,9</c:v>
                </c:pt>
                <c:pt idx="4">
                  <c:v>4 à 4,9</c:v>
                </c:pt>
                <c:pt idx="5">
                  <c:v>5 à 5,9</c:v>
                </c:pt>
                <c:pt idx="6">
                  <c:v>&gt; 6</c:v>
                </c:pt>
              </c:strCache>
            </c:strRef>
          </c:cat>
          <c:val>
            <c:numRef>
              <c:f>'Analyses descriptives'!$C$118:$C$124</c:f>
              <c:numCache>
                <c:formatCode>General</c:formatCode>
                <c:ptCount val="7"/>
                <c:pt idx="0">
                  <c:v>0</c:v>
                </c:pt>
                <c:pt idx="1">
                  <c:v>0</c:v>
                </c:pt>
                <c:pt idx="2">
                  <c:v>1</c:v>
                </c:pt>
                <c:pt idx="3">
                  <c:v>5</c:v>
                </c:pt>
                <c:pt idx="4">
                  <c:v>6</c:v>
                </c:pt>
                <c:pt idx="5">
                  <c:v>4</c:v>
                </c:pt>
                <c:pt idx="6">
                  <c:v>4</c:v>
                </c:pt>
              </c:numCache>
            </c:numRef>
          </c:val>
          <c:extLst>
            <c:ext xmlns:c16="http://schemas.microsoft.com/office/drawing/2014/chart" uri="{C3380CC4-5D6E-409C-BE32-E72D297353CC}">
              <c16:uniqueId val="{00000000-E149-471B-92EE-E6EA29F6ED6F}"/>
            </c:ext>
          </c:extLst>
        </c:ser>
        <c:dLbls>
          <c:showLegendKey val="0"/>
          <c:showVal val="0"/>
          <c:showCatName val="0"/>
          <c:showSerName val="0"/>
          <c:showPercent val="0"/>
          <c:showBubbleSize val="0"/>
        </c:dLbls>
        <c:gapWidth val="219"/>
        <c:overlap val="-27"/>
        <c:axId val="301614303"/>
        <c:axId val="301614719"/>
      </c:barChart>
      <c:catAx>
        <c:axId val="301614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719"/>
        <c:crossesAt val="0"/>
        <c:auto val="1"/>
        <c:lblAlgn val="ctr"/>
        <c:lblOffset val="100"/>
        <c:noMultiLvlLbl val="0"/>
      </c:catAx>
      <c:valAx>
        <c:axId val="3016147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3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Répartition</a:t>
            </a:r>
            <a:r>
              <a:rPr lang="fr-CH" baseline="0"/>
              <a:t> de la totalité des enfants en fct du score d'attention sélective U</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'Analyses descriptives'!$B$152:$B$158</c:f>
              <c:strCache>
                <c:ptCount val="7"/>
                <c:pt idx="0">
                  <c:v>0 à 9</c:v>
                </c:pt>
                <c:pt idx="1">
                  <c:v>10 à 19</c:v>
                </c:pt>
                <c:pt idx="2">
                  <c:v>20 à 29</c:v>
                </c:pt>
                <c:pt idx="3">
                  <c:v>30 à 39</c:v>
                </c:pt>
                <c:pt idx="4">
                  <c:v>40 à 49</c:v>
                </c:pt>
                <c:pt idx="5">
                  <c:v>50 à 59</c:v>
                </c:pt>
                <c:pt idx="6">
                  <c:v>&gt;= 60</c:v>
                </c:pt>
              </c:strCache>
            </c:strRef>
          </c:cat>
          <c:val>
            <c:numRef>
              <c:f>'Analyses descriptives'!$C$152:$C$158</c:f>
              <c:numCache>
                <c:formatCode>General</c:formatCode>
                <c:ptCount val="7"/>
                <c:pt idx="0">
                  <c:v>0</c:v>
                </c:pt>
                <c:pt idx="1">
                  <c:v>9</c:v>
                </c:pt>
                <c:pt idx="2">
                  <c:v>9</c:v>
                </c:pt>
                <c:pt idx="3">
                  <c:v>1</c:v>
                </c:pt>
                <c:pt idx="4">
                  <c:v>1</c:v>
                </c:pt>
                <c:pt idx="5">
                  <c:v>0</c:v>
                </c:pt>
                <c:pt idx="6">
                  <c:v>0</c:v>
                </c:pt>
              </c:numCache>
            </c:numRef>
          </c:val>
          <c:extLst>
            <c:ext xmlns:c16="http://schemas.microsoft.com/office/drawing/2014/chart" uri="{C3380CC4-5D6E-409C-BE32-E72D297353CC}">
              <c16:uniqueId val="{00000000-768E-465F-B9D1-7D5F3CCAFB5D}"/>
            </c:ext>
          </c:extLst>
        </c:ser>
        <c:dLbls>
          <c:showLegendKey val="0"/>
          <c:showVal val="0"/>
          <c:showCatName val="0"/>
          <c:showSerName val="0"/>
          <c:showPercent val="0"/>
          <c:showBubbleSize val="0"/>
        </c:dLbls>
        <c:gapWidth val="219"/>
        <c:overlap val="-27"/>
        <c:axId val="301614303"/>
        <c:axId val="301614719"/>
      </c:barChart>
      <c:catAx>
        <c:axId val="301614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719"/>
        <c:crossesAt val="0"/>
        <c:auto val="1"/>
        <c:lblAlgn val="ctr"/>
        <c:lblOffset val="100"/>
        <c:noMultiLvlLbl val="0"/>
      </c:catAx>
      <c:valAx>
        <c:axId val="3016147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3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Répartition</a:t>
            </a:r>
            <a:r>
              <a:rPr lang="fr-CH" baseline="0"/>
              <a:t> de la totalité des enfants en fct du score d'équilibre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cat>
            <c:strRef>
              <c:f>'Analyses descriptives'!$B$84:$B$89</c:f>
              <c:strCache>
                <c:ptCount val="6"/>
                <c:pt idx="0">
                  <c:v>0 à 3</c:v>
                </c:pt>
                <c:pt idx="1">
                  <c:v>4 à 7</c:v>
                </c:pt>
                <c:pt idx="2">
                  <c:v>8 à 11</c:v>
                </c:pt>
                <c:pt idx="3">
                  <c:v>12 à 15</c:v>
                </c:pt>
                <c:pt idx="4">
                  <c:v>16 à 19</c:v>
                </c:pt>
                <c:pt idx="5">
                  <c:v>&gt;20</c:v>
                </c:pt>
              </c:strCache>
            </c:strRef>
          </c:cat>
          <c:val>
            <c:numRef>
              <c:f>'Analyses descriptives'!$C$84:$C$89</c:f>
              <c:numCache>
                <c:formatCode>General</c:formatCode>
                <c:ptCount val="6"/>
                <c:pt idx="0">
                  <c:v>0</c:v>
                </c:pt>
                <c:pt idx="1">
                  <c:v>8</c:v>
                </c:pt>
                <c:pt idx="2">
                  <c:v>6</c:v>
                </c:pt>
                <c:pt idx="3">
                  <c:v>5</c:v>
                </c:pt>
                <c:pt idx="4">
                  <c:v>1</c:v>
                </c:pt>
                <c:pt idx="5">
                  <c:v>0</c:v>
                </c:pt>
              </c:numCache>
            </c:numRef>
          </c:val>
          <c:extLst>
            <c:ext xmlns:c16="http://schemas.microsoft.com/office/drawing/2014/chart" uri="{C3380CC4-5D6E-409C-BE32-E72D297353CC}">
              <c16:uniqueId val="{00000000-A0B4-4715-A37C-786A879D4881}"/>
            </c:ext>
          </c:extLst>
        </c:ser>
        <c:dLbls>
          <c:showLegendKey val="0"/>
          <c:showVal val="0"/>
          <c:showCatName val="0"/>
          <c:showSerName val="0"/>
          <c:showPercent val="0"/>
          <c:showBubbleSize val="0"/>
        </c:dLbls>
        <c:gapWidth val="219"/>
        <c:overlap val="-27"/>
        <c:axId val="301614303"/>
        <c:axId val="301614719"/>
      </c:barChart>
      <c:catAx>
        <c:axId val="301614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719"/>
        <c:crossesAt val="0"/>
        <c:auto val="1"/>
        <c:lblAlgn val="ctr"/>
        <c:lblOffset val="100"/>
        <c:noMultiLvlLbl val="0"/>
      </c:catAx>
      <c:valAx>
        <c:axId val="3016147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016143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22</xdr:col>
      <xdr:colOff>596900</xdr:colOff>
      <xdr:row>1</xdr:row>
      <xdr:rowOff>584200</xdr:rowOff>
    </xdr:from>
    <xdr:to>
      <xdr:col>33</xdr:col>
      <xdr:colOff>19050</xdr:colOff>
      <xdr:row>28</xdr:row>
      <xdr:rowOff>32238</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8427700" y="793750"/>
          <a:ext cx="7804150" cy="49725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566737</xdr:colOff>
      <xdr:row>253</xdr:row>
      <xdr:rowOff>4762</xdr:rowOff>
    </xdr:from>
    <xdr:to>
      <xdr:col>19</xdr:col>
      <xdr:colOff>642937</xdr:colOff>
      <xdr:row>267</xdr:row>
      <xdr:rowOff>4762</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566737</xdr:colOff>
      <xdr:row>287</xdr:row>
      <xdr:rowOff>4762</xdr:rowOff>
    </xdr:from>
    <xdr:to>
      <xdr:col>19</xdr:col>
      <xdr:colOff>642937</xdr:colOff>
      <xdr:row>301</xdr:row>
      <xdr:rowOff>4762</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566737</xdr:colOff>
      <xdr:row>219</xdr:row>
      <xdr:rowOff>4762</xdr:rowOff>
    </xdr:from>
    <xdr:to>
      <xdr:col>19</xdr:col>
      <xdr:colOff>642937</xdr:colOff>
      <xdr:row>233</xdr:row>
      <xdr:rowOff>4762</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566737</xdr:colOff>
      <xdr:row>394</xdr:row>
      <xdr:rowOff>4762</xdr:rowOff>
    </xdr:from>
    <xdr:to>
      <xdr:col>19</xdr:col>
      <xdr:colOff>642937</xdr:colOff>
      <xdr:row>408</xdr:row>
      <xdr:rowOff>4762</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566737</xdr:colOff>
      <xdr:row>428</xdr:row>
      <xdr:rowOff>4762</xdr:rowOff>
    </xdr:from>
    <xdr:to>
      <xdr:col>19</xdr:col>
      <xdr:colOff>642937</xdr:colOff>
      <xdr:row>442</xdr:row>
      <xdr:rowOff>4762</xdr:rowOff>
    </xdr:to>
    <xdr:graphicFrame macro="">
      <xdr:nvGraphicFramePr>
        <xdr:cNvPr id="6" name="Graphique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566737</xdr:colOff>
      <xdr:row>360</xdr:row>
      <xdr:rowOff>4762</xdr:rowOff>
    </xdr:from>
    <xdr:to>
      <xdr:col>19</xdr:col>
      <xdr:colOff>642937</xdr:colOff>
      <xdr:row>374</xdr:row>
      <xdr:rowOff>4762</xdr:rowOff>
    </xdr:to>
    <xdr:graphicFrame macro="">
      <xdr:nvGraphicFramePr>
        <xdr:cNvPr id="7" name="Graphique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566737</xdr:colOff>
      <xdr:row>112</xdr:row>
      <xdr:rowOff>4762</xdr:rowOff>
    </xdr:from>
    <xdr:to>
      <xdr:col>19</xdr:col>
      <xdr:colOff>642937</xdr:colOff>
      <xdr:row>126</xdr:row>
      <xdr:rowOff>4762</xdr:rowOff>
    </xdr:to>
    <xdr:graphicFrame macro="">
      <xdr:nvGraphicFramePr>
        <xdr:cNvPr id="14" name="Graphique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566737</xdr:colOff>
      <xdr:row>146</xdr:row>
      <xdr:rowOff>4762</xdr:rowOff>
    </xdr:from>
    <xdr:to>
      <xdr:col>19</xdr:col>
      <xdr:colOff>642937</xdr:colOff>
      <xdr:row>160</xdr:row>
      <xdr:rowOff>4762</xdr:rowOff>
    </xdr:to>
    <xdr:graphicFrame macro="">
      <xdr:nvGraphicFramePr>
        <xdr:cNvPr id="15" name="Graphique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566737</xdr:colOff>
      <xdr:row>78</xdr:row>
      <xdr:rowOff>4762</xdr:rowOff>
    </xdr:from>
    <xdr:to>
      <xdr:col>19</xdr:col>
      <xdr:colOff>642937</xdr:colOff>
      <xdr:row>92</xdr:row>
      <xdr:rowOff>4762</xdr:rowOff>
    </xdr:to>
    <xdr:graphicFrame macro="">
      <xdr:nvGraphicFramePr>
        <xdr:cNvPr id="16" name="Graphique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566737</xdr:colOff>
      <xdr:row>185</xdr:row>
      <xdr:rowOff>4762</xdr:rowOff>
    </xdr:from>
    <xdr:to>
      <xdr:col>19</xdr:col>
      <xdr:colOff>642937</xdr:colOff>
      <xdr:row>199</xdr:row>
      <xdr:rowOff>4762</xdr:rowOff>
    </xdr:to>
    <xdr:graphicFrame macro="">
      <xdr:nvGraphicFramePr>
        <xdr:cNvPr id="17" name="Graphique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566737</xdr:colOff>
      <xdr:row>326</xdr:row>
      <xdr:rowOff>4762</xdr:rowOff>
    </xdr:from>
    <xdr:to>
      <xdr:col>19</xdr:col>
      <xdr:colOff>642937</xdr:colOff>
      <xdr:row>340</xdr:row>
      <xdr:rowOff>4762</xdr:rowOff>
    </xdr:to>
    <xdr:graphicFrame macro="">
      <xdr:nvGraphicFramePr>
        <xdr:cNvPr id="18" name="Graphique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566737</xdr:colOff>
      <xdr:row>44</xdr:row>
      <xdr:rowOff>4762</xdr:rowOff>
    </xdr:from>
    <xdr:to>
      <xdr:col>19</xdr:col>
      <xdr:colOff>642937</xdr:colOff>
      <xdr:row>58</xdr:row>
      <xdr:rowOff>4762</xdr:rowOff>
    </xdr:to>
    <xdr:graphicFrame macro="">
      <xdr:nvGraphicFramePr>
        <xdr:cNvPr id="19" name="Graphique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19049</xdr:colOff>
      <xdr:row>223</xdr:row>
      <xdr:rowOff>9525</xdr:rowOff>
    </xdr:from>
    <xdr:to>
      <xdr:col>3</xdr:col>
      <xdr:colOff>9524</xdr:colOff>
      <xdr:row>230</xdr:row>
      <xdr:rowOff>164943</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381124" y="39319200"/>
          <a:ext cx="2276475" cy="1488919"/>
        </a:xfrm>
        <a:prstGeom prst="rect">
          <a:avLst/>
        </a:prstGeom>
        <a:ln w="127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1</xdr:col>
      <xdr:colOff>19049</xdr:colOff>
      <xdr:row>223</xdr:row>
      <xdr:rowOff>9525</xdr:rowOff>
    </xdr:from>
    <xdr:to>
      <xdr:col>3</xdr:col>
      <xdr:colOff>9524</xdr:colOff>
      <xdr:row>229</xdr:row>
      <xdr:rowOff>164944</xdr:rowOff>
    </xdr:to>
    <xdr:pic>
      <xdr:nvPicPr>
        <xdr:cNvPr id="15" name="Image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
        <a:stretch>
          <a:fillRect/>
        </a:stretch>
      </xdr:blipFill>
      <xdr:spPr>
        <a:xfrm>
          <a:off x="1381124" y="39319200"/>
          <a:ext cx="2276475" cy="1488919"/>
        </a:xfrm>
        <a:prstGeom prst="rect">
          <a:avLst/>
        </a:prstGeom>
        <a:ln w="127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6</xdr:col>
      <xdr:colOff>279177</xdr:colOff>
      <xdr:row>151</xdr:row>
      <xdr:rowOff>0</xdr:rowOff>
    </xdr:from>
    <xdr:to>
      <xdr:col>9</xdr:col>
      <xdr:colOff>933996</xdr:colOff>
      <xdr:row>158</xdr:row>
      <xdr:rowOff>11192</xdr:rowOff>
    </xdr:to>
    <xdr:pic>
      <xdr:nvPicPr>
        <xdr:cNvPr id="17" name="Image 16">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2"/>
        <a:stretch>
          <a:fillRect/>
        </a:stretch>
      </xdr:blipFill>
      <xdr:spPr>
        <a:xfrm>
          <a:off x="8237986" y="35232960"/>
          <a:ext cx="3493141" cy="1353642"/>
        </a:xfrm>
        <a:prstGeom prst="rect">
          <a:avLst/>
        </a:prstGeom>
      </xdr:spPr>
    </xdr:pic>
    <xdr:clientData/>
  </xdr:twoCellAnchor>
  <xdr:twoCellAnchor editAs="oneCell">
    <xdr:from>
      <xdr:col>6</xdr:col>
      <xdr:colOff>1316753</xdr:colOff>
      <xdr:row>191</xdr:row>
      <xdr:rowOff>10467</xdr:rowOff>
    </xdr:from>
    <xdr:to>
      <xdr:col>10</xdr:col>
      <xdr:colOff>713936</xdr:colOff>
      <xdr:row>197</xdr:row>
      <xdr:rowOff>50940</xdr:rowOff>
    </xdr:to>
    <xdr:pic>
      <xdr:nvPicPr>
        <xdr:cNvPr id="20" name="Image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3"/>
        <a:stretch>
          <a:fillRect/>
        </a:stretch>
      </xdr:blipFill>
      <xdr:spPr>
        <a:xfrm>
          <a:off x="9261231" y="41847198"/>
          <a:ext cx="3416524" cy="1348851"/>
        </a:xfrm>
        <a:prstGeom prst="rect">
          <a:avLst/>
        </a:prstGeom>
      </xdr:spPr>
    </xdr:pic>
    <xdr:clientData/>
  </xdr:twoCellAnchor>
  <xdr:twoCellAnchor editAs="oneCell">
    <xdr:from>
      <xdr:col>11</xdr:col>
      <xdr:colOff>266423</xdr:colOff>
      <xdr:row>190</xdr:row>
      <xdr:rowOff>136828</xdr:rowOff>
    </xdr:from>
    <xdr:to>
      <xdr:col>14</xdr:col>
      <xdr:colOff>681408</xdr:colOff>
      <xdr:row>200</xdr:row>
      <xdr:rowOff>96961</xdr:rowOff>
    </xdr:to>
    <xdr:pic>
      <xdr:nvPicPr>
        <xdr:cNvPr id="21" name="Image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4"/>
        <a:stretch>
          <a:fillRect/>
        </a:stretch>
      </xdr:blipFill>
      <xdr:spPr>
        <a:xfrm>
          <a:off x="12996842" y="41795870"/>
          <a:ext cx="3238264" cy="2024834"/>
        </a:xfrm>
        <a:prstGeom prst="rect">
          <a:avLst/>
        </a:prstGeom>
      </xdr:spPr>
    </xdr:pic>
    <xdr:clientData/>
  </xdr:twoCellAnchor>
  <xdr:twoCellAnchor editAs="oneCell">
    <xdr:from>
      <xdr:col>10</xdr:col>
      <xdr:colOff>12785</xdr:colOff>
      <xdr:row>151</xdr:row>
      <xdr:rowOff>0</xdr:rowOff>
    </xdr:from>
    <xdr:to>
      <xdr:col>14</xdr:col>
      <xdr:colOff>634030</xdr:colOff>
      <xdr:row>162</xdr:row>
      <xdr:rowOff>124687</xdr:rowOff>
    </xdr:to>
    <xdr:pic>
      <xdr:nvPicPr>
        <xdr:cNvPr id="29" name="Image 28">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5"/>
        <a:stretch>
          <a:fillRect/>
        </a:stretch>
      </xdr:blipFill>
      <xdr:spPr>
        <a:xfrm>
          <a:off x="11979765" y="35248893"/>
          <a:ext cx="4201111" cy="237205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hapon Manon" id="{C1E4A7F1-9ED9-474B-9251-78938FBFC347}" userId="S::manon.chapon@hes-so.ch::6c572326-d5ff-4d38-8c88-fa582aaeabe9"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9" dT="2023-03-27T13:27:08.38" personId="{C1E4A7F1-9ED9-474B-9251-78938FBFC347}" id="{15A69529-44D0-4C04-A4AA-79620789979C}">
    <text xml:space="preserve">- Changer les colonnes (G) et (U) pour que ça se suive : G _ G _ U _ U
- Changer la couleur verte pour les « nés à terme » 
- Faire des colonnes de latéralité pied - main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ocscistatistics.com/tests/kolmogorov" TargetMode="External"/><Relationship Id="rId1" Type="http://schemas.openxmlformats.org/officeDocument/2006/relationships/hyperlink" Target="https://www.socscistatistics.com/tests/mannwhitney"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4E025-1D8E-4DA4-A7C3-5D56C81F84B6}">
  <sheetPr codeName="Feuil2"/>
  <dimension ref="B1:AD61"/>
  <sheetViews>
    <sheetView tabSelected="1" topLeftCell="A2" zoomScale="69" workbookViewId="0">
      <selection activeCell="E2" sqref="E2:L2"/>
    </sheetView>
  </sheetViews>
  <sheetFormatPr baseColWidth="10" defaultColWidth="12.42578125" defaultRowHeight="15" x14ac:dyDescent="0.25"/>
  <cols>
    <col min="1" max="1" width="4.42578125" style="71" customWidth="1"/>
    <col min="2" max="2" width="12.42578125" style="71"/>
    <col min="3" max="3" width="9" style="71" bestFit="1" customWidth="1"/>
    <col min="4" max="4" width="9" style="71" customWidth="1"/>
    <col min="5" max="5" width="17" style="72" bestFit="1" customWidth="1"/>
    <col min="6" max="7" width="25.7109375" style="73" customWidth="1"/>
    <col min="8" max="8" width="9.5703125" style="71" customWidth="1"/>
    <col min="9" max="9" width="10.7109375" style="73" customWidth="1"/>
    <col min="10" max="10" width="14.85546875" style="71" customWidth="1"/>
    <col min="11" max="11" width="11.42578125" style="71" bestFit="1" customWidth="1"/>
    <col min="12" max="12" width="14.85546875" style="71" customWidth="1"/>
    <col min="13" max="13" width="2.85546875" style="71" customWidth="1"/>
    <col min="14" max="17" width="18.140625" style="71" customWidth="1"/>
    <col min="18" max="18" width="3.5703125" style="71" customWidth="1"/>
    <col min="19" max="20" width="21" style="71" customWidth="1"/>
    <col min="21" max="21" width="4" style="71" customWidth="1"/>
    <col min="22" max="16384" width="12.42578125" style="71"/>
  </cols>
  <sheetData>
    <row r="1" spans="2:30" ht="15.75" thickBot="1" x14ac:dyDescent="0.3">
      <c r="V1" s="74"/>
    </row>
    <row r="2" spans="2:30" ht="68.099999999999994" customHeight="1" thickBot="1" x14ac:dyDescent="0.3">
      <c r="B2" s="289"/>
      <c r="C2" s="290"/>
      <c r="D2" s="220"/>
      <c r="E2" s="291"/>
      <c r="F2" s="292"/>
      <c r="G2" s="292"/>
      <c r="H2" s="292"/>
      <c r="I2" s="292"/>
      <c r="J2" s="292"/>
      <c r="K2" s="292"/>
      <c r="L2" s="293"/>
      <c r="N2" s="294" t="s">
        <v>91</v>
      </c>
      <c r="O2" s="295"/>
      <c r="P2" s="295"/>
      <c r="Q2" s="296"/>
      <c r="S2" s="297" t="s">
        <v>92</v>
      </c>
      <c r="T2" s="298"/>
      <c r="V2" s="299"/>
      <c r="W2" s="299"/>
      <c r="X2" s="299"/>
      <c r="Y2" s="299"/>
      <c r="Z2" s="299"/>
      <c r="AA2" s="299"/>
      <c r="AB2" s="299"/>
      <c r="AC2" s="299"/>
      <c r="AD2" s="299"/>
    </row>
    <row r="3" spans="2:30" ht="15.75" thickBot="1" x14ac:dyDescent="0.3"/>
    <row r="4" spans="2:30" ht="68.099999999999994" customHeight="1" thickBot="1" x14ac:dyDescent="0.3">
      <c r="B4" s="75" t="s">
        <v>93</v>
      </c>
      <c r="C4" s="76" t="s">
        <v>94</v>
      </c>
      <c r="D4" s="76" t="s">
        <v>94</v>
      </c>
      <c r="E4" s="76" t="s">
        <v>95</v>
      </c>
      <c r="F4" s="76" t="s">
        <v>96</v>
      </c>
      <c r="G4" s="76" t="s">
        <v>227</v>
      </c>
      <c r="H4" s="76" t="s">
        <v>97</v>
      </c>
      <c r="I4" s="76" t="s">
        <v>98</v>
      </c>
      <c r="J4" s="76" t="s">
        <v>99</v>
      </c>
      <c r="K4" s="76" t="s">
        <v>100</v>
      </c>
      <c r="L4" s="77" t="s">
        <v>101</v>
      </c>
      <c r="N4" s="78" t="s">
        <v>102</v>
      </c>
      <c r="O4" s="79" t="s">
        <v>103</v>
      </c>
      <c r="P4" s="79" t="s">
        <v>104</v>
      </c>
      <c r="Q4" s="80" t="s">
        <v>105</v>
      </c>
      <c r="S4" s="81" t="s">
        <v>106</v>
      </c>
      <c r="T4" s="81" t="s">
        <v>107</v>
      </c>
      <c r="V4" s="300"/>
      <c r="W4" s="300"/>
      <c r="X4" s="300"/>
      <c r="Y4" s="300"/>
      <c r="Z4" s="300"/>
      <c r="AB4" s="300"/>
      <c r="AC4" s="301"/>
      <c r="AD4" s="301"/>
    </row>
    <row r="5" spans="2:30" s="193" customFormat="1" ht="15.75" x14ac:dyDescent="0.25">
      <c r="B5" s="195">
        <v>42193</v>
      </c>
      <c r="C5" s="196" t="s">
        <v>108</v>
      </c>
      <c r="D5" s="196" t="s">
        <v>198</v>
      </c>
      <c r="E5" s="197">
        <v>44989</v>
      </c>
      <c r="F5" s="198" t="str">
        <f t="shared" ref="F5:F9" si="0">IF(B5="","",(DATEDIF(B5,E5,"Y")&amp;" ans / "&amp;DATEDIF(B5,E5,"YM")&amp;" mois / ")&amp;DATEDIF(B5,E5,"md")&amp;" jours")</f>
        <v>7 ans / 7 mois / 24 jours</v>
      </c>
      <c r="G5" s="198">
        <f>7*12+8</f>
        <v>92</v>
      </c>
      <c r="H5" s="196" t="s">
        <v>109</v>
      </c>
      <c r="I5" s="198" t="s">
        <v>110</v>
      </c>
      <c r="J5" s="196" t="s">
        <v>226</v>
      </c>
      <c r="K5" s="196" t="s">
        <v>111</v>
      </c>
      <c r="L5" s="199" t="s">
        <v>111</v>
      </c>
      <c r="N5" s="200">
        <v>3.36</v>
      </c>
      <c r="O5" s="201">
        <v>0.9</v>
      </c>
      <c r="P5" s="202">
        <v>40</v>
      </c>
      <c r="Q5" s="203">
        <v>0.94</v>
      </c>
      <c r="S5" s="204">
        <v>16</v>
      </c>
      <c r="T5" s="205">
        <v>0.98</v>
      </c>
    </row>
    <row r="6" spans="2:30" s="193" customFormat="1" ht="15.75" x14ac:dyDescent="0.25">
      <c r="B6" s="206">
        <v>42106</v>
      </c>
      <c r="C6" s="207" t="s">
        <v>112</v>
      </c>
      <c r="D6" s="196" t="s">
        <v>199</v>
      </c>
      <c r="E6" s="208">
        <v>45000</v>
      </c>
      <c r="F6" s="209" t="str">
        <f t="shared" si="0"/>
        <v>7 ans / 11 mois / 3 jours</v>
      </c>
      <c r="G6" s="209">
        <f>7*12+11</f>
        <v>95</v>
      </c>
      <c r="H6" s="207" t="s">
        <v>109</v>
      </c>
      <c r="I6" s="209" t="s">
        <v>110</v>
      </c>
      <c r="J6" s="196" t="s">
        <v>226</v>
      </c>
      <c r="K6" s="207" t="s">
        <v>113</v>
      </c>
      <c r="L6" s="210" t="s">
        <v>113</v>
      </c>
      <c r="N6" s="211">
        <v>2.37</v>
      </c>
      <c r="O6" s="212">
        <v>0.95</v>
      </c>
      <c r="P6" s="207">
        <v>30</v>
      </c>
      <c r="Q6" s="213">
        <v>0.87</v>
      </c>
      <c r="S6" s="214">
        <v>15</v>
      </c>
      <c r="T6" s="215">
        <v>0.95</v>
      </c>
      <c r="V6" s="288"/>
      <c r="W6" s="288"/>
      <c r="X6" s="216"/>
      <c r="Y6" s="288"/>
      <c r="Z6" s="288"/>
    </row>
    <row r="7" spans="2:30" s="193" customFormat="1" ht="15.95" customHeight="1" x14ac:dyDescent="0.25">
      <c r="B7" s="206">
        <v>42368</v>
      </c>
      <c r="C7" s="207" t="s">
        <v>114</v>
      </c>
      <c r="D7" s="196" t="s">
        <v>200</v>
      </c>
      <c r="E7" s="208">
        <v>45000</v>
      </c>
      <c r="F7" s="209" t="str">
        <f t="shared" si="0"/>
        <v>7 ans / 2 mois / 13 jours</v>
      </c>
      <c r="G7" s="209">
        <f>7*12+2</f>
        <v>86</v>
      </c>
      <c r="H7" s="207" t="s">
        <v>109</v>
      </c>
      <c r="I7" s="209" t="s">
        <v>110</v>
      </c>
      <c r="J7" s="196" t="s">
        <v>226</v>
      </c>
      <c r="K7" s="207" t="s">
        <v>113</v>
      </c>
      <c r="L7" s="210" t="s">
        <v>113</v>
      </c>
      <c r="N7" s="211">
        <v>5.85</v>
      </c>
      <c r="O7" s="212">
        <v>0.45</v>
      </c>
      <c r="P7" s="207">
        <v>15</v>
      </c>
      <c r="Q7" s="213">
        <v>0.17</v>
      </c>
      <c r="S7" s="214">
        <v>7</v>
      </c>
      <c r="T7" s="215">
        <v>0.16</v>
      </c>
      <c r="V7" s="217"/>
      <c r="W7" s="217"/>
      <c r="X7" s="217"/>
      <c r="Y7" s="217"/>
      <c r="Z7" s="217"/>
    </row>
    <row r="8" spans="2:30" s="193" customFormat="1" ht="15.75" x14ac:dyDescent="0.25">
      <c r="B8" s="206">
        <v>42329</v>
      </c>
      <c r="C8" s="207" t="s">
        <v>115</v>
      </c>
      <c r="D8" s="196" t="s">
        <v>201</v>
      </c>
      <c r="E8" s="208">
        <v>45014</v>
      </c>
      <c r="F8" s="209" t="str">
        <f t="shared" si="0"/>
        <v>7 ans / 4 mois / 8 jours</v>
      </c>
      <c r="G8" s="209">
        <f>7*12+4</f>
        <v>88</v>
      </c>
      <c r="H8" s="207" t="s">
        <v>109</v>
      </c>
      <c r="I8" s="209" t="s">
        <v>110</v>
      </c>
      <c r="J8" s="196" t="s">
        <v>226</v>
      </c>
      <c r="K8" s="207" t="s">
        <v>113</v>
      </c>
      <c r="L8" s="210" t="s">
        <v>113</v>
      </c>
      <c r="N8" s="211">
        <v>4.62</v>
      </c>
      <c r="O8" s="212">
        <v>0.7</v>
      </c>
      <c r="P8" s="207">
        <v>28</v>
      </c>
      <c r="Q8" s="213">
        <v>0.83</v>
      </c>
      <c r="S8" s="214">
        <v>11</v>
      </c>
      <c r="T8" s="215">
        <v>0.63</v>
      </c>
      <c r="U8" s="194"/>
      <c r="V8" s="216"/>
      <c r="W8" s="216"/>
      <c r="X8" s="216"/>
      <c r="Y8" s="216"/>
      <c r="Z8" s="216"/>
    </row>
    <row r="9" spans="2:30" s="193" customFormat="1" ht="15.75" x14ac:dyDescent="0.25">
      <c r="B9" s="206">
        <v>42147</v>
      </c>
      <c r="C9" s="207" t="s">
        <v>116</v>
      </c>
      <c r="D9" s="196" t="s">
        <v>202</v>
      </c>
      <c r="E9" s="208">
        <v>45014</v>
      </c>
      <c r="F9" s="209" t="str">
        <f t="shared" si="0"/>
        <v>7 ans / 10 mois / 6 jours</v>
      </c>
      <c r="G9" s="209">
        <f>7*12+10</f>
        <v>94</v>
      </c>
      <c r="H9" s="207" t="s">
        <v>109</v>
      </c>
      <c r="I9" s="209" t="s">
        <v>117</v>
      </c>
      <c r="J9" s="196" t="s">
        <v>226</v>
      </c>
      <c r="K9" s="207" t="s">
        <v>113</v>
      </c>
      <c r="L9" s="210" t="s">
        <v>113</v>
      </c>
      <c r="N9" s="211">
        <v>4.75</v>
      </c>
      <c r="O9" s="212">
        <v>0.7</v>
      </c>
      <c r="P9" s="207">
        <v>26</v>
      </c>
      <c r="Q9" s="213">
        <v>0.76</v>
      </c>
      <c r="S9" s="214">
        <v>11</v>
      </c>
      <c r="T9" s="218">
        <v>0.63</v>
      </c>
    </row>
    <row r="10" spans="2:30" s="193" customFormat="1" ht="15.75" x14ac:dyDescent="0.25">
      <c r="B10" s="206">
        <v>42344</v>
      </c>
      <c r="C10" s="207" t="s">
        <v>123</v>
      </c>
      <c r="D10" s="207" t="s">
        <v>228</v>
      </c>
      <c r="E10" s="208">
        <v>45049</v>
      </c>
      <c r="F10" s="209" t="str">
        <f t="shared" ref="F10:F22" si="1">IF(B10="","",(DATEDIF(B10,E10,"Y")&amp;" ans / "&amp;DATEDIF(B10,E10,"YM")&amp;" mois / ")&amp;DATEDIF(B10,E10,"md")&amp;" jours")</f>
        <v>7 ans / 4 mois / 27 jours</v>
      </c>
      <c r="G10" s="209">
        <f>7*12+5</f>
        <v>89</v>
      </c>
      <c r="H10" s="207" t="s">
        <v>109</v>
      </c>
      <c r="I10" s="209" t="s">
        <v>110</v>
      </c>
      <c r="J10" s="196" t="s">
        <v>226</v>
      </c>
      <c r="K10" s="207" t="s">
        <v>113</v>
      </c>
      <c r="L10" s="210" t="s">
        <v>113</v>
      </c>
      <c r="N10" s="211">
        <v>4.12</v>
      </c>
      <c r="O10" s="212">
        <v>0.8</v>
      </c>
      <c r="P10" s="207">
        <v>29</v>
      </c>
      <c r="Q10" s="213">
        <v>0.85</v>
      </c>
      <c r="S10" s="214">
        <v>15</v>
      </c>
      <c r="T10" s="215">
        <v>0.95</v>
      </c>
    </row>
    <row r="11" spans="2:30" s="193" customFormat="1" ht="15.75" x14ac:dyDescent="0.25">
      <c r="B11" s="206">
        <v>42338</v>
      </c>
      <c r="C11" s="207" t="s">
        <v>127</v>
      </c>
      <c r="D11" s="207" t="s">
        <v>231</v>
      </c>
      <c r="E11" s="208">
        <v>45057</v>
      </c>
      <c r="F11" s="209" t="str">
        <f t="shared" si="1"/>
        <v>7 ans / 5 mois / 11 jours</v>
      </c>
      <c r="G11" s="209">
        <f>7*12+5</f>
        <v>89</v>
      </c>
      <c r="H11" s="207" t="s">
        <v>109</v>
      </c>
      <c r="I11" s="209" t="s">
        <v>110</v>
      </c>
      <c r="J11" s="196" t="s">
        <v>226</v>
      </c>
      <c r="K11" s="207" t="s">
        <v>113</v>
      </c>
      <c r="L11" s="210" t="s">
        <v>111</v>
      </c>
      <c r="N11" s="211">
        <v>3.6</v>
      </c>
      <c r="O11" s="212">
        <v>0.9</v>
      </c>
      <c r="P11" s="207">
        <v>23</v>
      </c>
      <c r="Q11" s="213">
        <v>0.6</v>
      </c>
      <c r="S11" s="214">
        <v>8</v>
      </c>
      <c r="T11" s="215">
        <v>0.25</v>
      </c>
    </row>
    <row r="12" spans="2:30" s="193" customFormat="1" ht="15.75" x14ac:dyDescent="0.25">
      <c r="B12" s="206">
        <v>42241</v>
      </c>
      <c r="C12" s="207" t="s">
        <v>129</v>
      </c>
      <c r="D12" s="207" t="s">
        <v>233</v>
      </c>
      <c r="E12" s="208">
        <v>45068</v>
      </c>
      <c r="F12" s="209" t="str">
        <f t="shared" si="1"/>
        <v>7 ans / 8 mois / 27 jours</v>
      </c>
      <c r="G12" s="209">
        <f>7*12+8</f>
        <v>92</v>
      </c>
      <c r="H12" s="207" t="s">
        <v>109</v>
      </c>
      <c r="I12" s="209" t="s">
        <v>110</v>
      </c>
      <c r="J12" s="196" t="s">
        <v>226</v>
      </c>
      <c r="K12" s="207" t="s">
        <v>113</v>
      </c>
      <c r="L12" s="210" t="s">
        <v>113</v>
      </c>
      <c r="N12" s="211">
        <v>4.32</v>
      </c>
      <c r="O12" s="212">
        <v>0.75</v>
      </c>
      <c r="P12" s="207">
        <v>24</v>
      </c>
      <c r="Q12" s="213">
        <v>0.64</v>
      </c>
      <c r="S12" s="214">
        <v>10</v>
      </c>
      <c r="T12" s="215">
        <v>0.5</v>
      </c>
    </row>
    <row r="13" spans="2:30" s="193" customFormat="1" ht="15.75" x14ac:dyDescent="0.25">
      <c r="B13" s="206">
        <v>42327</v>
      </c>
      <c r="C13" s="207" t="s">
        <v>130</v>
      </c>
      <c r="D13" s="207" t="s">
        <v>234</v>
      </c>
      <c r="E13" s="208">
        <v>45068</v>
      </c>
      <c r="F13" s="209" t="str">
        <f t="shared" si="1"/>
        <v>7 ans / 6 mois / 3 jours</v>
      </c>
      <c r="G13" s="209">
        <f>7*12+6</f>
        <v>90</v>
      </c>
      <c r="H13" s="207" t="s">
        <v>109</v>
      </c>
      <c r="I13" s="209" t="s">
        <v>110</v>
      </c>
      <c r="J13" s="196" t="s">
        <v>226</v>
      </c>
      <c r="K13" s="207" t="s">
        <v>113</v>
      </c>
      <c r="L13" s="210" t="s">
        <v>113</v>
      </c>
      <c r="N13" s="211">
        <v>3.87</v>
      </c>
      <c r="O13" s="212">
        <v>0.85</v>
      </c>
      <c r="P13" s="207">
        <v>27</v>
      </c>
      <c r="Q13" s="213">
        <v>0.79</v>
      </c>
      <c r="S13" s="214">
        <v>12</v>
      </c>
      <c r="T13" s="215">
        <v>0.75</v>
      </c>
    </row>
    <row r="14" spans="2:30" s="193" customFormat="1" ht="15.75" x14ac:dyDescent="0.25">
      <c r="B14" s="206">
        <v>42312</v>
      </c>
      <c r="C14" s="207" t="s">
        <v>131</v>
      </c>
      <c r="D14" s="207" t="s">
        <v>235</v>
      </c>
      <c r="E14" s="208">
        <v>45087</v>
      </c>
      <c r="F14" s="209" t="str">
        <f t="shared" si="1"/>
        <v>7 ans / 7 mois / 6 jours</v>
      </c>
      <c r="G14" s="209">
        <f>7*12+7</f>
        <v>91</v>
      </c>
      <c r="H14" s="207" t="s">
        <v>109</v>
      </c>
      <c r="I14" s="209" t="s">
        <v>110</v>
      </c>
      <c r="J14" s="196" t="s">
        <v>226</v>
      </c>
      <c r="K14" s="207" t="s">
        <v>113</v>
      </c>
      <c r="L14" s="210" t="s">
        <v>113</v>
      </c>
      <c r="N14" s="211">
        <v>4.75</v>
      </c>
      <c r="O14" s="212">
        <v>0.7</v>
      </c>
      <c r="P14" s="207">
        <v>17</v>
      </c>
      <c r="Q14" s="213">
        <v>0.24</v>
      </c>
      <c r="S14" s="214">
        <v>10</v>
      </c>
      <c r="T14" s="215">
        <v>0.5</v>
      </c>
    </row>
    <row r="15" spans="2:30" s="193" customFormat="1" ht="15.75" x14ac:dyDescent="0.25">
      <c r="B15" s="206">
        <v>42344</v>
      </c>
      <c r="C15" s="207" t="s">
        <v>118</v>
      </c>
      <c r="D15" s="207" t="s">
        <v>203</v>
      </c>
      <c r="E15" s="208">
        <v>45014</v>
      </c>
      <c r="F15" s="209" t="str">
        <f t="shared" si="1"/>
        <v>7 ans / 3 mois / 23 jours</v>
      </c>
      <c r="G15" s="209">
        <f>7*12+4</f>
        <v>88</v>
      </c>
      <c r="H15" s="207" t="s">
        <v>119</v>
      </c>
      <c r="I15" s="209" t="s">
        <v>110</v>
      </c>
      <c r="J15" s="207" t="s">
        <v>226</v>
      </c>
      <c r="K15" s="207" t="s">
        <v>113</v>
      </c>
      <c r="L15" s="210" t="s">
        <v>113</v>
      </c>
      <c r="N15" s="211">
        <v>4.55</v>
      </c>
      <c r="O15" s="212">
        <v>0.7</v>
      </c>
      <c r="P15" s="207">
        <v>12</v>
      </c>
      <c r="Q15" s="213">
        <v>0.02</v>
      </c>
      <c r="S15" s="214">
        <v>5</v>
      </c>
      <c r="T15" s="215">
        <v>0.05</v>
      </c>
      <c r="V15" s="216"/>
      <c r="W15" s="216"/>
      <c r="X15" s="216"/>
      <c r="Y15" s="216"/>
      <c r="Z15" s="216"/>
    </row>
    <row r="16" spans="2:30" s="193" customFormat="1" ht="15.75" x14ac:dyDescent="0.25">
      <c r="B16" s="206">
        <v>42344</v>
      </c>
      <c r="C16" s="207" t="s">
        <v>120</v>
      </c>
      <c r="D16" s="207" t="s">
        <v>204</v>
      </c>
      <c r="E16" s="208">
        <v>45014</v>
      </c>
      <c r="F16" s="209" t="str">
        <f t="shared" si="1"/>
        <v>7 ans / 3 mois / 23 jours</v>
      </c>
      <c r="G16" s="209">
        <f>7*12+4</f>
        <v>88</v>
      </c>
      <c r="H16" s="207" t="s">
        <v>119</v>
      </c>
      <c r="I16" s="209" t="s">
        <v>110</v>
      </c>
      <c r="J16" s="207" t="s">
        <v>226</v>
      </c>
      <c r="K16" s="207" t="s">
        <v>113</v>
      </c>
      <c r="L16" s="210" t="s">
        <v>113</v>
      </c>
      <c r="N16" s="211">
        <v>3.86</v>
      </c>
      <c r="O16" s="212">
        <v>0.85</v>
      </c>
      <c r="P16" s="207">
        <v>20</v>
      </c>
      <c r="Q16" s="213">
        <v>0.44</v>
      </c>
      <c r="S16" s="214">
        <v>13</v>
      </c>
      <c r="T16" s="215">
        <v>0.84</v>
      </c>
      <c r="V16" s="288"/>
      <c r="W16" s="288"/>
      <c r="X16" s="216"/>
      <c r="Y16" s="288"/>
      <c r="Z16" s="288"/>
    </row>
    <row r="17" spans="2:26" s="193" customFormat="1" ht="15.75" x14ac:dyDescent="0.25">
      <c r="B17" s="206">
        <v>42230</v>
      </c>
      <c r="C17" s="207" t="s">
        <v>121</v>
      </c>
      <c r="D17" s="207" t="s">
        <v>205</v>
      </c>
      <c r="E17" s="208">
        <v>45030</v>
      </c>
      <c r="F17" s="209" t="str">
        <f t="shared" si="1"/>
        <v>7 ans / 8 mois / 0 jours</v>
      </c>
      <c r="G17" s="209">
        <f>7*12+8</f>
        <v>92</v>
      </c>
      <c r="H17" s="207" t="s">
        <v>119</v>
      </c>
      <c r="I17" s="209" t="s">
        <v>225</v>
      </c>
      <c r="J17" s="207" t="s">
        <v>226</v>
      </c>
      <c r="K17" s="207" t="s">
        <v>111</v>
      </c>
      <c r="L17" s="210" t="s">
        <v>113</v>
      </c>
      <c r="N17" s="211">
        <v>6.72</v>
      </c>
      <c r="O17" s="212">
        <v>0.3</v>
      </c>
      <c r="P17" s="207">
        <v>13</v>
      </c>
      <c r="Q17" s="213">
        <v>0.05</v>
      </c>
      <c r="S17" s="214">
        <v>6</v>
      </c>
      <c r="T17" s="215">
        <v>0.09</v>
      </c>
    </row>
    <row r="18" spans="2:26" s="193" customFormat="1" ht="15.75" x14ac:dyDescent="0.25">
      <c r="B18" s="206">
        <v>42350</v>
      </c>
      <c r="C18" s="207" t="s">
        <v>122</v>
      </c>
      <c r="D18" s="207" t="s">
        <v>206</v>
      </c>
      <c r="E18" s="208">
        <v>45049</v>
      </c>
      <c r="F18" s="209" t="str">
        <f t="shared" si="1"/>
        <v>7 ans / 4 mois / 21 jours</v>
      </c>
      <c r="G18" s="209">
        <f>7*12+5</f>
        <v>89</v>
      </c>
      <c r="H18" s="207" t="s">
        <v>119</v>
      </c>
      <c r="I18" s="209" t="s">
        <v>110</v>
      </c>
      <c r="J18" s="207" t="s">
        <v>226</v>
      </c>
      <c r="K18" s="207" t="s">
        <v>113</v>
      </c>
      <c r="L18" s="210" t="s">
        <v>113</v>
      </c>
      <c r="N18" s="211">
        <v>7.45</v>
      </c>
      <c r="O18" s="212">
        <v>0.2</v>
      </c>
      <c r="P18" s="207">
        <v>11</v>
      </c>
      <c r="Q18" s="213">
        <v>0.01</v>
      </c>
      <c r="S18" s="214">
        <v>6</v>
      </c>
      <c r="T18" s="215">
        <v>0.09</v>
      </c>
      <c r="V18" s="216"/>
      <c r="W18" s="216"/>
      <c r="X18" s="216"/>
      <c r="Y18" s="216"/>
      <c r="Z18" s="216"/>
    </row>
    <row r="19" spans="2:26" s="193" customFormat="1" ht="15.75" x14ac:dyDescent="0.25">
      <c r="B19" s="206">
        <v>42223</v>
      </c>
      <c r="C19" s="207" t="s">
        <v>124</v>
      </c>
      <c r="D19" s="207" t="s">
        <v>207</v>
      </c>
      <c r="E19" s="208">
        <v>45054</v>
      </c>
      <c r="F19" s="209" t="str">
        <f t="shared" si="1"/>
        <v>7 ans / 9 mois / 1 jours</v>
      </c>
      <c r="G19" s="209">
        <f>7*12+9</f>
        <v>93</v>
      </c>
      <c r="H19" s="207" t="s">
        <v>119</v>
      </c>
      <c r="I19" s="209" t="s">
        <v>110</v>
      </c>
      <c r="J19" s="207" t="s">
        <v>226</v>
      </c>
      <c r="K19" s="207" t="s">
        <v>113</v>
      </c>
      <c r="L19" s="210" t="s">
        <v>113</v>
      </c>
      <c r="N19" s="211">
        <v>9.15</v>
      </c>
      <c r="O19" s="212">
        <v>0.1</v>
      </c>
      <c r="P19" s="207">
        <v>13</v>
      </c>
      <c r="Q19" s="213">
        <v>0.05</v>
      </c>
      <c r="S19" s="214">
        <v>4</v>
      </c>
      <c r="T19" s="215">
        <v>0.02</v>
      </c>
    </row>
    <row r="20" spans="2:26" s="193" customFormat="1" ht="15.75" x14ac:dyDescent="0.25">
      <c r="B20" s="206">
        <v>42188</v>
      </c>
      <c r="C20" s="207" t="s">
        <v>125</v>
      </c>
      <c r="D20" s="207" t="s">
        <v>229</v>
      </c>
      <c r="E20" s="208">
        <v>45067</v>
      </c>
      <c r="F20" s="209" t="str">
        <f t="shared" si="1"/>
        <v>7 ans / 10 mois / 18 jours</v>
      </c>
      <c r="G20" s="209">
        <f>7*12+11</f>
        <v>95</v>
      </c>
      <c r="H20" s="207" t="s">
        <v>119</v>
      </c>
      <c r="I20" s="209" t="s">
        <v>110</v>
      </c>
      <c r="J20" s="207" t="s">
        <v>226</v>
      </c>
      <c r="K20" s="207" t="s">
        <v>113</v>
      </c>
      <c r="L20" s="210" t="s">
        <v>113</v>
      </c>
      <c r="N20" s="211">
        <v>5.12</v>
      </c>
      <c r="O20" s="212">
        <v>0.6</v>
      </c>
      <c r="P20" s="207">
        <v>17</v>
      </c>
      <c r="Q20" s="213">
        <v>0.24</v>
      </c>
      <c r="S20" s="214">
        <v>7</v>
      </c>
      <c r="T20" s="215">
        <v>0.16</v>
      </c>
    </row>
    <row r="21" spans="2:26" s="193" customFormat="1" ht="15.75" x14ac:dyDescent="0.25">
      <c r="B21" s="206">
        <v>42321</v>
      </c>
      <c r="C21" s="207" t="s">
        <v>126</v>
      </c>
      <c r="D21" s="207" t="s">
        <v>230</v>
      </c>
      <c r="E21" s="208">
        <v>45067</v>
      </c>
      <c r="F21" s="209" t="str">
        <f t="shared" si="1"/>
        <v>7 ans / 6 mois / 8 jours</v>
      </c>
      <c r="G21" s="209">
        <f>7*12+6</f>
        <v>90</v>
      </c>
      <c r="H21" s="207" t="s">
        <v>119</v>
      </c>
      <c r="I21" s="209" t="s">
        <v>110</v>
      </c>
      <c r="J21" s="207" t="s">
        <v>226</v>
      </c>
      <c r="K21" s="207" t="s">
        <v>113</v>
      </c>
      <c r="L21" s="210" t="s">
        <v>113</v>
      </c>
      <c r="N21" s="211">
        <v>3.82</v>
      </c>
      <c r="O21" s="212">
        <v>0.85</v>
      </c>
      <c r="P21" s="207">
        <v>26</v>
      </c>
      <c r="Q21" s="213">
        <v>0.76</v>
      </c>
      <c r="S21" s="214">
        <v>12</v>
      </c>
      <c r="T21" s="215">
        <v>0.75</v>
      </c>
    </row>
    <row r="22" spans="2:26" s="193" customFormat="1" ht="15.75" x14ac:dyDescent="0.25">
      <c r="B22" s="206">
        <v>42143</v>
      </c>
      <c r="C22" s="207" t="s">
        <v>128</v>
      </c>
      <c r="D22" s="207" t="s">
        <v>232</v>
      </c>
      <c r="E22" s="208">
        <v>45061</v>
      </c>
      <c r="F22" s="209" t="str">
        <f t="shared" si="1"/>
        <v>7 ans / 11 mois / 26 jours</v>
      </c>
      <c r="G22" s="209">
        <f>7*12+12</f>
        <v>96</v>
      </c>
      <c r="H22" s="207" t="s">
        <v>119</v>
      </c>
      <c r="I22" s="209" t="s">
        <v>110</v>
      </c>
      <c r="J22" s="207" t="s">
        <v>226</v>
      </c>
      <c r="K22" s="207" t="s">
        <v>113</v>
      </c>
      <c r="L22" s="210" t="s">
        <v>113</v>
      </c>
      <c r="N22" s="211">
        <v>5.28</v>
      </c>
      <c r="O22" s="212">
        <v>0.55000000000000004</v>
      </c>
      <c r="P22" s="207">
        <v>16</v>
      </c>
      <c r="Q22" s="213">
        <v>0.21</v>
      </c>
      <c r="S22" s="214">
        <v>7</v>
      </c>
      <c r="T22" s="215">
        <v>0.16</v>
      </c>
    </row>
    <row r="23" spans="2:26" s="193" customFormat="1" ht="15.75" x14ac:dyDescent="0.25">
      <c r="B23" s="206">
        <v>42253</v>
      </c>
      <c r="C23" s="207" t="s">
        <v>132</v>
      </c>
      <c r="D23" s="207" t="s">
        <v>263</v>
      </c>
      <c r="E23" s="208">
        <v>45061</v>
      </c>
      <c r="F23" s="209" t="str">
        <f t="shared" ref="F23:F24" si="2">IF(B23="","",(DATEDIF(B23,E23,"Y")&amp;" ans / "&amp;DATEDIF(B23,E23,"YM")&amp;" mois / ")&amp;DATEDIF(B23,E23,"md")&amp;" jours")</f>
        <v>7 ans / 8 mois / 9 jours</v>
      </c>
      <c r="G23" s="209">
        <f>7*12+8</f>
        <v>92</v>
      </c>
      <c r="H23" s="207" t="s">
        <v>119</v>
      </c>
      <c r="I23" s="209" t="s">
        <v>110</v>
      </c>
      <c r="J23" s="207" t="s">
        <v>226</v>
      </c>
      <c r="K23" s="207" t="s">
        <v>113</v>
      </c>
      <c r="L23" s="210" t="s">
        <v>113</v>
      </c>
      <c r="N23" s="211">
        <v>5.85</v>
      </c>
      <c r="O23" s="212">
        <v>0.45</v>
      </c>
      <c r="P23" s="207">
        <v>20</v>
      </c>
      <c r="Q23" s="213">
        <v>0.44</v>
      </c>
      <c r="S23" s="214">
        <v>8</v>
      </c>
      <c r="T23" s="215">
        <v>0.25</v>
      </c>
    </row>
    <row r="24" spans="2:26" s="193" customFormat="1" ht="15.75" x14ac:dyDescent="0.25">
      <c r="B24" s="206">
        <v>42271</v>
      </c>
      <c r="C24" s="207" t="s">
        <v>133</v>
      </c>
      <c r="D24" s="207" t="s">
        <v>264</v>
      </c>
      <c r="E24" s="208">
        <v>45061</v>
      </c>
      <c r="F24" s="209" t="str">
        <f t="shared" si="2"/>
        <v>7 ans / 7 mois / 21 jours</v>
      </c>
      <c r="G24" s="209">
        <f>7*12+8</f>
        <v>92</v>
      </c>
      <c r="H24" s="207" t="s">
        <v>119</v>
      </c>
      <c r="I24" s="209" t="s">
        <v>110</v>
      </c>
      <c r="J24" s="207" t="s">
        <v>226</v>
      </c>
      <c r="K24" s="207" t="s">
        <v>113</v>
      </c>
      <c r="L24" s="210" t="s">
        <v>113</v>
      </c>
      <c r="N24" s="211">
        <v>6.72</v>
      </c>
      <c r="O24" s="212">
        <v>0.3</v>
      </c>
      <c r="P24" s="207">
        <v>17</v>
      </c>
      <c r="Q24" s="213">
        <v>0.24</v>
      </c>
      <c r="S24" s="214">
        <v>7</v>
      </c>
      <c r="T24" s="215">
        <v>0.16</v>
      </c>
    </row>
    <row r="25" spans="2:26" s="193" customFormat="1" ht="15.75" x14ac:dyDescent="0.25">
      <c r="B25" s="206"/>
      <c r="C25" s="207"/>
      <c r="D25" s="207"/>
      <c r="E25" s="208"/>
      <c r="F25" s="209"/>
      <c r="G25" s="209"/>
      <c r="H25" s="207"/>
      <c r="I25" s="209"/>
      <c r="J25" s="207"/>
      <c r="K25" s="207"/>
      <c r="L25" s="210"/>
      <c r="N25" s="211"/>
      <c r="O25" s="213"/>
      <c r="P25" s="207"/>
      <c r="Q25" s="213"/>
      <c r="S25" s="214"/>
      <c r="T25" s="213"/>
    </row>
    <row r="26" spans="2:26" s="193" customFormat="1" ht="15.75" x14ac:dyDescent="0.25">
      <c r="B26" s="206"/>
      <c r="C26" s="207"/>
      <c r="D26" s="207"/>
      <c r="E26" s="208"/>
      <c r="F26" s="209"/>
      <c r="G26" s="209"/>
      <c r="H26" s="207"/>
      <c r="I26" s="209"/>
      <c r="J26" s="207"/>
      <c r="K26" s="207"/>
      <c r="L26" s="210"/>
      <c r="N26" s="211"/>
      <c r="O26" s="213"/>
      <c r="P26" s="207"/>
      <c r="Q26" s="213"/>
      <c r="S26" s="214"/>
      <c r="T26" s="213"/>
    </row>
    <row r="27" spans="2:26" s="193" customFormat="1" ht="15.75" x14ac:dyDescent="0.25">
      <c r="B27" s="206"/>
      <c r="C27" s="207"/>
      <c r="D27" s="207"/>
      <c r="E27" s="208"/>
      <c r="F27" s="209"/>
      <c r="G27" s="209"/>
      <c r="H27" s="207"/>
      <c r="I27" s="209"/>
      <c r="J27" s="207"/>
      <c r="K27" s="207"/>
      <c r="L27" s="210"/>
      <c r="N27" s="211"/>
      <c r="O27" s="213"/>
      <c r="P27" s="207"/>
      <c r="Q27" s="213"/>
      <c r="S27" s="214"/>
      <c r="T27" s="213"/>
    </row>
    <row r="28" spans="2:26" s="193" customFormat="1" ht="15.75" x14ac:dyDescent="0.25">
      <c r="B28" s="206"/>
      <c r="C28" s="207"/>
      <c r="D28" s="207"/>
      <c r="E28" s="208"/>
      <c r="F28" s="209"/>
      <c r="G28" s="209"/>
      <c r="H28" s="207"/>
      <c r="I28" s="209"/>
      <c r="J28" s="207"/>
      <c r="K28" s="207"/>
      <c r="L28" s="210"/>
      <c r="N28" s="211"/>
      <c r="O28" s="210"/>
      <c r="P28" s="207"/>
      <c r="Q28" s="210"/>
      <c r="S28" s="214"/>
      <c r="T28" s="210"/>
    </row>
    <row r="29" spans="2:26" s="193" customFormat="1" ht="15.75" x14ac:dyDescent="0.25">
      <c r="B29" s="206"/>
      <c r="C29" s="207"/>
      <c r="D29" s="207"/>
      <c r="E29" s="208"/>
      <c r="F29" s="209"/>
      <c r="G29" s="209"/>
      <c r="H29" s="207"/>
      <c r="I29" s="209"/>
      <c r="J29" s="207"/>
      <c r="K29" s="207"/>
      <c r="L29" s="210"/>
      <c r="N29" s="211"/>
      <c r="O29" s="210"/>
      <c r="P29" s="207"/>
      <c r="Q29" s="210"/>
      <c r="S29" s="214"/>
      <c r="T29" s="210"/>
    </row>
    <row r="30" spans="2:26" s="193" customFormat="1" ht="15.75" x14ac:dyDescent="0.25">
      <c r="B30" s="206"/>
      <c r="C30" s="207"/>
      <c r="D30" s="207"/>
      <c r="E30" s="208"/>
      <c r="F30" s="209"/>
      <c r="G30" s="209"/>
      <c r="H30" s="207"/>
      <c r="I30" s="209"/>
      <c r="J30" s="207"/>
      <c r="K30" s="207"/>
      <c r="L30" s="210"/>
      <c r="N30" s="211"/>
      <c r="O30" s="207"/>
      <c r="P30" s="207"/>
      <c r="Q30" s="210"/>
      <c r="S30" s="214"/>
      <c r="T30" s="219"/>
    </row>
    <row r="31" spans="2:26" s="193" customFormat="1" ht="15.75" x14ac:dyDescent="0.25">
      <c r="B31" s="206"/>
      <c r="C31" s="207"/>
      <c r="D31" s="207"/>
      <c r="E31" s="208"/>
      <c r="F31" s="209"/>
      <c r="G31" s="209"/>
      <c r="H31" s="207"/>
      <c r="I31" s="209"/>
      <c r="J31" s="207"/>
      <c r="K31" s="207"/>
      <c r="L31" s="210"/>
      <c r="N31" s="211"/>
      <c r="O31" s="207"/>
      <c r="P31" s="207"/>
      <c r="Q31" s="210"/>
      <c r="S31" s="214"/>
      <c r="T31" s="219"/>
    </row>
    <row r="32" spans="2:26" x14ac:dyDescent="0.25">
      <c r="B32" s="82"/>
      <c r="C32" s="83"/>
      <c r="D32" s="83"/>
      <c r="E32" s="84"/>
      <c r="F32" s="85" t="str">
        <f t="shared" ref="F32:F44" si="3">IF(B32="","",(DATEDIF(B32,E32,"Y")&amp;" ans / "&amp;DATEDIF(B32,E32,"YM")&amp;" mois / ")&amp;DATEDIF(B32,E32,"md")&amp;" jours")</f>
        <v/>
      </c>
      <c r="G32" s="85"/>
      <c r="H32" s="83"/>
      <c r="I32" s="85"/>
      <c r="J32" s="83"/>
      <c r="K32" s="83"/>
      <c r="L32" s="86"/>
      <c r="N32" s="87"/>
      <c r="O32" s="83"/>
      <c r="P32" s="83"/>
      <c r="Q32" s="86"/>
      <c r="S32" s="88"/>
      <c r="T32" s="89"/>
    </row>
    <row r="33" spans="2:20" x14ac:dyDescent="0.25">
      <c r="B33" s="82"/>
      <c r="C33" s="83"/>
      <c r="D33" s="83"/>
      <c r="E33" s="84"/>
      <c r="F33" s="85" t="str">
        <f t="shared" si="3"/>
        <v/>
      </c>
      <c r="G33" s="85"/>
      <c r="H33" s="83"/>
      <c r="I33" s="85"/>
      <c r="J33" s="83"/>
      <c r="K33" s="83"/>
      <c r="L33" s="86"/>
      <c r="N33" s="87"/>
      <c r="O33" s="83"/>
      <c r="P33" s="83"/>
      <c r="Q33" s="86"/>
      <c r="S33" s="88"/>
      <c r="T33" s="89"/>
    </row>
    <row r="34" spans="2:20" x14ac:dyDescent="0.25">
      <c r="B34" s="82"/>
      <c r="C34" s="83"/>
      <c r="D34" s="83"/>
      <c r="E34" s="84"/>
      <c r="F34" s="85" t="str">
        <f t="shared" si="3"/>
        <v/>
      </c>
      <c r="G34" s="85"/>
      <c r="H34" s="83"/>
      <c r="I34" s="85"/>
      <c r="J34" s="83"/>
      <c r="K34" s="83"/>
      <c r="L34" s="86"/>
      <c r="N34" s="87"/>
      <c r="O34" s="83"/>
      <c r="P34" s="83"/>
      <c r="Q34" s="86"/>
      <c r="S34" s="88"/>
      <c r="T34" s="89"/>
    </row>
    <row r="35" spans="2:20" x14ac:dyDescent="0.25">
      <c r="B35" s="82"/>
      <c r="C35" s="83"/>
      <c r="D35" s="83"/>
      <c r="E35" s="84"/>
      <c r="F35" s="85" t="str">
        <f t="shared" si="3"/>
        <v/>
      </c>
      <c r="G35" s="85"/>
      <c r="H35" s="83"/>
      <c r="I35" s="85"/>
      <c r="J35" s="83"/>
      <c r="K35" s="83"/>
      <c r="L35" s="86"/>
      <c r="N35" s="87"/>
      <c r="O35" s="83"/>
      <c r="P35" s="83"/>
      <c r="Q35" s="86"/>
      <c r="S35" s="88"/>
      <c r="T35" s="89"/>
    </row>
    <row r="36" spans="2:20" x14ac:dyDescent="0.25">
      <c r="B36" s="82"/>
      <c r="C36" s="83"/>
      <c r="D36" s="83"/>
      <c r="E36" s="84"/>
      <c r="F36" s="85" t="str">
        <f t="shared" si="3"/>
        <v/>
      </c>
      <c r="G36" s="85"/>
      <c r="H36" s="83"/>
      <c r="I36" s="85"/>
      <c r="J36" s="83"/>
      <c r="K36" s="83"/>
      <c r="L36" s="86"/>
      <c r="N36" s="87"/>
      <c r="O36" s="83"/>
      <c r="P36" s="83"/>
      <c r="Q36" s="86"/>
      <c r="S36" s="88"/>
      <c r="T36" s="89"/>
    </row>
    <row r="37" spans="2:20" x14ac:dyDescent="0.25">
      <c r="B37" s="82"/>
      <c r="C37" s="83"/>
      <c r="D37" s="83"/>
      <c r="E37" s="84"/>
      <c r="F37" s="85" t="str">
        <f t="shared" si="3"/>
        <v/>
      </c>
      <c r="G37" s="85"/>
      <c r="H37" s="83"/>
      <c r="I37" s="85"/>
      <c r="J37" s="83"/>
      <c r="K37" s="83"/>
      <c r="L37" s="86"/>
      <c r="N37" s="87"/>
      <c r="O37" s="83"/>
      <c r="P37" s="83"/>
      <c r="Q37" s="86"/>
      <c r="S37" s="88"/>
      <c r="T37" s="89"/>
    </row>
    <row r="38" spans="2:20" x14ac:dyDescent="0.25">
      <c r="B38" s="82"/>
      <c r="C38" s="83"/>
      <c r="D38" s="83"/>
      <c r="E38" s="84"/>
      <c r="F38" s="85" t="str">
        <f t="shared" si="3"/>
        <v/>
      </c>
      <c r="G38" s="85"/>
      <c r="H38" s="83"/>
      <c r="I38" s="85"/>
      <c r="J38" s="83"/>
      <c r="K38" s="83"/>
      <c r="L38" s="86"/>
      <c r="N38" s="87"/>
      <c r="O38" s="83"/>
      <c r="P38" s="83"/>
      <c r="Q38" s="86"/>
      <c r="S38" s="88"/>
      <c r="T38" s="89"/>
    </row>
    <row r="39" spans="2:20" x14ac:dyDescent="0.25">
      <c r="B39" s="82"/>
      <c r="C39" s="83"/>
      <c r="D39" s="83"/>
      <c r="E39" s="84"/>
      <c r="F39" s="85" t="str">
        <f t="shared" si="3"/>
        <v/>
      </c>
      <c r="G39" s="85"/>
      <c r="H39" s="83"/>
      <c r="I39" s="85"/>
      <c r="J39" s="83"/>
      <c r="K39" s="83"/>
      <c r="L39" s="86"/>
      <c r="N39" s="87"/>
      <c r="O39" s="83"/>
      <c r="P39" s="83"/>
      <c r="Q39" s="86"/>
      <c r="S39" s="88"/>
      <c r="T39" s="89"/>
    </row>
    <row r="40" spans="2:20" x14ac:dyDescent="0.25">
      <c r="B40" s="82"/>
      <c r="C40" s="83"/>
      <c r="D40" s="83"/>
      <c r="E40" s="84"/>
      <c r="F40" s="85" t="str">
        <f t="shared" si="3"/>
        <v/>
      </c>
      <c r="G40" s="85"/>
      <c r="H40" s="83"/>
      <c r="I40" s="85"/>
      <c r="J40" s="83"/>
      <c r="K40" s="83"/>
      <c r="L40" s="86"/>
      <c r="N40" s="87"/>
      <c r="O40" s="83"/>
      <c r="P40" s="83"/>
      <c r="Q40" s="86"/>
      <c r="S40" s="88"/>
      <c r="T40" s="89"/>
    </row>
    <row r="41" spans="2:20" x14ac:dyDescent="0.25">
      <c r="B41" s="82"/>
      <c r="C41" s="83"/>
      <c r="D41" s="83"/>
      <c r="E41" s="84"/>
      <c r="F41" s="85" t="str">
        <f t="shared" si="3"/>
        <v/>
      </c>
      <c r="G41" s="85"/>
      <c r="H41" s="83"/>
      <c r="I41" s="85"/>
      <c r="J41" s="83"/>
      <c r="K41" s="83"/>
      <c r="L41" s="86"/>
      <c r="N41" s="87"/>
      <c r="O41" s="83"/>
      <c r="P41" s="83"/>
      <c r="Q41" s="86"/>
      <c r="S41" s="88"/>
      <c r="T41" s="89"/>
    </row>
    <row r="42" spans="2:20" x14ac:dyDescent="0.25">
      <c r="B42" s="82"/>
      <c r="C42" s="83"/>
      <c r="D42" s="83"/>
      <c r="E42" s="84"/>
      <c r="F42" s="85" t="str">
        <f t="shared" si="3"/>
        <v/>
      </c>
      <c r="G42" s="85"/>
      <c r="H42" s="83"/>
      <c r="I42" s="85"/>
      <c r="J42" s="83"/>
      <c r="K42" s="83"/>
      <c r="L42" s="86"/>
      <c r="N42" s="87"/>
      <c r="O42" s="83"/>
      <c r="P42" s="83"/>
      <c r="Q42" s="86"/>
      <c r="S42" s="88"/>
      <c r="T42" s="89"/>
    </row>
    <row r="43" spans="2:20" x14ac:dyDescent="0.25">
      <c r="B43" s="82"/>
      <c r="C43" s="83"/>
      <c r="D43" s="83"/>
      <c r="E43" s="84"/>
      <c r="F43" s="85" t="str">
        <f t="shared" si="3"/>
        <v/>
      </c>
      <c r="G43" s="85"/>
      <c r="H43" s="83"/>
      <c r="I43" s="85"/>
      <c r="J43" s="83"/>
      <c r="K43" s="83"/>
      <c r="L43" s="86"/>
      <c r="N43" s="87"/>
      <c r="O43" s="83"/>
      <c r="P43" s="83"/>
      <c r="Q43" s="86"/>
      <c r="S43" s="88"/>
      <c r="T43" s="89"/>
    </row>
    <row r="44" spans="2:20" ht="15.75" thickBot="1" x14ac:dyDescent="0.3">
      <c r="B44" s="90"/>
      <c r="C44" s="91"/>
      <c r="D44" s="91"/>
      <c r="E44" s="92"/>
      <c r="F44" s="93" t="str">
        <f t="shared" si="3"/>
        <v/>
      </c>
      <c r="G44" s="93"/>
      <c r="H44" s="91"/>
      <c r="I44" s="93"/>
      <c r="J44" s="91"/>
      <c r="K44" s="91"/>
      <c r="L44" s="94"/>
      <c r="N44" s="95"/>
      <c r="O44" s="91"/>
      <c r="P44" s="91"/>
      <c r="Q44" s="94"/>
      <c r="S44" s="96"/>
      <c r="T44" s="97"/>
    </row>
    <row r="45" spans="2:20" ht="15.75" thickBot="1" x14ac:dyDescent="0.3">
      <c r="N45" s="72"/>
      <c r="O45" s="72"/>
      <c r="P45" s="72"/>
      <c r="Q45" s="72"/>
      <c r="S45" s="72"/>
      <c r="T45" s="72"/>
    </row>
    <row r="46" spans="2:20" ht="39.950000000000003" customHeight="1" x14ac:dyDescent="0.25">
      <c r="B46" s="98"/>
      <c r="C46" s="99"/>
      <c r="D46" s="99"/>
      <c r="E46" s="100" t="s">
        <v>134</v>
      </c>
      <c r="F46" s="101"/>
      <c r="G46" s="101"/>
      <c r="H46" s="99"/>
      <c r="I46" s="101"/>
      <c r="J46" s="99"/>
      <c r="K46" s="99"/>
      <c r="L46" s="102"/>
      <c r="N46" s="103" t="s">
        <v>135</v>
      </c>
      <c r="O46" s="104" t="s">
        <v>135</v>
      </c>
      <c r="P46" s="104"/>
      <c r="Q46" s="105"/>
      <c r="S46" s="106" t="s">
        <v>135</v>
      </c>
      <c r="T46" s="107"/>
    </row>
    <row r="47" spans="2:20" ht="15.75" thickBot="1" x14ac:dyDescent="0.3">
      <c r="B47" s="108"/>
      <c r="C47" s="109"/>
      <c r="D47" s="109"/>
      <c r="E47" s="91" t="str">
        <f>"N="&amp;COUNTA(E5:E44)</f>
        <v>N=20</v>
      </c>
      <c r="F47" s="93"/>
      <c r="G47" s="93"/>
      <c r="H47" s="109"/>
      <c r="I47" s="93"/>
      <c r="J47" s="109"/>
      <c r="K47" s="109"/>
      <c r="L47" s="110"/>
      <c r="N47" s="111"/>
      <c r="O47" s="112">
        <f>AVERAGE(O5:O44)</f>
        <v>0.63</v>
      </c>
      <c r="P47" s="111"/>
      <c r="Q47" s="113"/>
      <c r="S47" s="114">
        <f>AVERAGE(S5:S44)</f>
        <v>9.5</v>
      </c>
      <c r="T47" s="115"/>
    </row>
    <row r="60" spans="17:20" x14ac:dyDescent="0.25">
      <c r="Q60" s="71" t="s">
        <v>136</v>
      </c>
      <c r="S60" s="71" t="s">
        <v>137</v>
      </c>
      <c r="T60" s="71" t="s">
        <v>138</v>
      </c>
    </row>
    <row r="61" spans="17:20" x14ac:dyDescent="0.25">
      <c r="Q61" s="71" t="s">
        <v>139</v>
      </c>
      <c r="S61" s="71" t="s">
        <v>140</v>
      </c>
      <c r="T61" s="71" t="s">
        <v>141</v>
      </c>
    </row>
  </sheetData>
  <mergeCells count="11">
    <mergeCell ref="V16:W16"/>
    <mergeCell ref="Y16:Z16"/>
    <mergeCell ref="V6:W6"/>
    <mergeCell ref="Y6:Z6"/>
    <mergeCell ref="B2:C2"/>
    <mergeCell ref="E2:L2"/>
    <mergeCell ref="N2:Q2"/>
    <mergeCell ref="S2:T2"/>
    <mergeCell ref="V2:AD2"/>
    <mergeCell ref="V4:Z4"/>
    <mergeCell ref="AB4:AD4"/>
  </mergeCells>
  <phoneticPr fontId="24" type="noConversion"/>
  <conditionalFormatting sqref="N5:Q44">
    <cfRule type="expression" dxfId="5" priority="5">
      <formula>$H5="P"</formula>
    </cfRule>
    <cfRule type="expression" dxfId="4" priority="6">
      <formula>$H5="T"</formula>
    </cfRule>
  </conditionalFormatting>
  <conditionalFormatting sqref="S5:T8 B5:L44 S9">
    <cfRule type="expression" dxfId="3" priority="15">
      <formula>$H5="P"</formula>
    </cfRule>
    <cfRule type="expression" dxfId="2" priority="16">
      <formula>$H5="T"</formula>
    </cfRule>
  </conditionalFormatting>
  <conditionalFormatting sqref="S10:T44">
    <cfRule type="expression" dxfId="1" priority="1">
      <formula>$H10="P"</formula>
    </cfRule>
    <cfRule type="expression" dxfId="0" priority="2">
      <formula>$H10="T"</formula>
    </cfRule>
  </conditionalFormatting>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6D6B3-5D6C-466D-ADA2-11BCC1EF60C4}">
  <sheetPr codeName="XLSTAT_20230621_070915_1_HID">
    <tabColor rgb="FF007800"/>
  </sheetPr>
  <dimension ref="A1:X100"/>
  <sheetViews>
    <sheetView workbookViewId="0">
      <selection activeCell="U1" sqref="U1"/>
    </sheetView>
  </sheetViews>
  <sheetFormatPr baseColWidth="10" defaultRowHeight="15" x14ac:dyDescent="0.25"/>
  <sheetData>
    <row r="1" spans="1:24" x14ac:dyDescent="0.25">
      <c r="A1">
        <v>1</v>
      </c>
      <c r="C1">
        <f t="shared" ref="C1:C32" si="0">2.8+(A1-1)*0.2086956522</f>
        <v>2.8</v>
      </c>
      <c r="D1">
        <f t="shared" ref="D1:D32" si="1">8.15419575298999+-0.338374420307542*C1-2.23918594285311*(0.0555555555555556+(C1-9.72222222222222)^2/227.611111111111)^0.5</f>
        <v>6.0517145399921652</v>
      </c>
      <c r="E1">
        <v>1</v>
      </c>
      <c r="G1">
        <f t="shared" ref="G1:G32" si="2">2.8+(E1-1)*0.2086956522</f>
        <v>2.8</v>
      </c>
      <c r="H1">
        <f t="shared" ref="H1:H32" si="3">8.15419575298999+-0.338374420307542*G1+2.23918594285311*(0.0555555555555556+(G1-9.72222222222222)^2/227.611111111111)^0.5</f>
        <v>8.3617802122655789</v>
      </c>
      <c r="I1">
        <v>1</v>
      </c>
      <c r="K1">
        <f t="shared" ref="K1:K32" si="4">2.8+(I1-1)*0.1454545455</f>
        <v>2.8</v>
      </c>
      <c r="L1">
        <f t="shared" ref="L1:L32" si="5">8.15419575298999+-0.338374420307542*K1-2.23918594285311*(1.05555555555556+(K1-9.72222222222222)^2/227.611111111111)^0.5</f>
        <v>4.6872127883081376</v>
      </c>
      <c r="M1">
        <v>1</v>
      </c>
      <c r="O1">
        <f t="shared" ref="O1:O32" si="6">2.8+(M1-1)*0.1454545455</f>
        <v>2.8</v>
      </c>
      <c r="P1">
        <f t="shared" ref="P1:P32" si="7">8.15419575298999+-0.338374420307542*O1+2.23918594285311*(1.05555555555556+(O1-9.72222222222222)^2/227.611111111111)^0.5</f>
        <v>9.7262819639496065</v>
      </c>
      <c r="Q1">
        <v>1</v>
      </c>
      <c r="S1">
        <f t="shared" ref="S1:S32" si="8">2.5777853063+(Q1-1)*0.0809138026</f>
        <v>2.5777853063</v>
      </c>
      <c r="T1">
        <f t="shared" ref="T1:T32" si="9">0+1*S1-2.23918594285311*(1.05555555555556+(S1-4.86444444444444)^2/26.0608459089306)^0.5</f>
        <v>6.8104249872935174E-2</v>
      </c>
      <c r="U1">
        <v>1</v>
      </c>
      <c r="W1">
        <f t="shared" ref="W1:W32" si="10">2.1921640225+(U1-1)*0.0865025169</f>
        <v>2.1921640225000001</v>
      </c>
      <c r="X1">
        <f t="shared" ref="X1:X32" si="11">0+1*W1+2.23918594285311*(1.05555555555556+(W1-4.86444444444444)^2/26.0608459089306)^0.5</f>
        <v>4.7741030282173398</v>
      </c>
    </row>
    <row r="2" spans="1:24" x14ac:dyDescent="0.25">
      <c r="A2">
        <v>2</v>
      </c>
      <c r="C2">
        <f t="shared" si="0"/>
        <v>3.0086956521999997</v>
      </c>
      <c r="D2">
        <f t="shared" si="1"/>
        <v>6.0085603307294102</v>
      </c>
      <c r="E2">
        <v>2</v>
      </c>
      <c r="G2">
        <f t="shared" si="2"/>
        <v>3.0086956521999997</v>
      </c>
      <c r="H2">
        <f t="shared" si="3"/>
        <v>8.2636998808605746</v>
      </c>
      <c r="I2">
        <v>2</v>
      </c>
      <c r="K2">
        <f t="shared" si="4"/>
        <v>2.9454545454999996</v>
      </c>
      <c r="L2">
        <f t="shared" si="5"/>
        <v>4.6467204870990901</v>
      </c>
      <c r="M2">
        <v>2</v>
      </c>
      <c r="O2">
        <f t="shared" si="6"/>
        <v>2.9454545454999996</v>
      </c>
      <c r="P2">
        <f t="shared" si="7"/>
        <v>9.6683380701293355</v>
      </c>
      <c r="Q2">
        <v>2</v>
      </c>
      <c r="S2">
        <f t="shared" si="8"/>
        <v>2.6586991089000001</v>
      </c>
      <c r="T2">
        <f t="shared" si="9"/>
        <v>0.16298994807548794</v>
      </c>
      <c r="U2">
        <v>2</v>
      </c>
      <c r="W2">
        <f t="shared" si="10"/>
        <v>2.2786665394000001</v>
      </c>
      <c r="X2">
        <f t="shared" si="11"/>
        <v>4.8436034573272373</v>
      </c>
    </row>
    <row r="3" spans="1:24" x14ac:dyDescent="0.25">
      <c r="A3">
        <v>3</v>
      </c>
      <c r="C3">
        <f t="shared" si="0"/>
        <v>3.2173913044</v>
      </c>
      <c r="D3">
        <f t="shared" si="1"/>
        <v>5.9652195998394708</v>
      </c>
      <c r="E3">
        <v>3</v>
      </c>
      <c r="G3">
        <f t="shared" si="2"/>
        <v>3.2173913044</v>
      </c>
      <c r="H3">
        <f t="shared" si="3"/>
        <v>8.1658060710827556</v>
      </c>
      <c r="I3">
        <v>3</v>
      </c>
      <c r="K3">
        <f t="shared" si="4"/>
        <v>3.0909090909999999</v>
      </c>
      <c r="L3">
        <f t="shared" si="5"/>
        <v>4.6060723525568807</v>
      </c>
      <c r="M3">
        <v>3</v>
      </c>
      <c r="O3">
        <f t="shared" si="6"/>
        <v>3.0909090909999999</v>
      </c>
      <c r="P3">
        <f t="shared" si="7"/>
        <v>9.6105500096422265</v>
      </c>
      <c r="Q3">
        <v>3</v>
      </c>
      <c r="S3">
        <f t="shared" si="8"/>
        <v>2.7396129115000001</v>
      </c>
      <c r="T3">
        <f t="shared" si="9"/>
        <v>0.25744679069524956</v>
      </c>
      <c r="U3">
        <v>3</v>
      </c>
      <c r="W3">
        <f t="shared" si="10"/>
        <v>2.3651690563000001</v>
      </c>
      <c r="X3">
        <f t="shared" si="11"/>
        <v>4.9135554096819041</v>
      </c>
    </row>
    <row r="4" spans="1:24" x14ac:dyDescent="0.25">
      <c r="A4">
        <v>4</v>
      </c>
      <c r="C4">
        <f t="shared" si="0"/>
        <v>3.4260869565999998</v>
      </c>
      <c r="D4">
        <f t="shared" si="1"/>
        <v>5.9216781255121802</v>
      </c>
      <c r="E4">
        <v>4</v>
      </c>
      <c r="G4">
        <f t="shared" si="2"/>
        <v>3.4260869565999998</v>
      </c>
      <c r="H4">
        <f t="shared" si="3"/>
        <v>8.0681130047422887</v>
      </c>
      <c r="I4">
        <v>4</v>
      </c>
      <c r="K4">
        <f t="shared" si="4"/>
        <v>3.2363636364999997</v>
      </c>
      <c r="L4">
        <f t="shared" si="5"/>
        <v>4.5652667781305789</v>
      </c>
      <c r="M4">
        <v>4</v>
      </c>
      <c r="O4">
        <f t="shared" si="6"/>
        <v>3.2363636364999997</v>
      </c>
      <c r="P4">
        <f t="shared" si="7"/>
        <v>9.5529193890392108</v>
      </c>
      <c r="Q4">
        <v>4</v>
      </c>
      <c r="S4">
        <f t="shared" si="8"/>
        <v>2.8205267141000001</v>
      </c>
      <c r="T4">
        <f t="shared" si="9"/>
        <v>0.35146772077250032</v>
      </c>
      <c r="U4">
        <v>4</v>
      </c>
      <c r="W4">
        <f t="shared" si="10"/>
        <v>2.4516715732000001</v>
      </c>
      <c r="X4">
        <f t="shared" si="11"/>
        <v>4.9839677384847372</v>
      </c>
    </row>
    <row r="5" spans="1:24" x14ac:dyDescent="0.25">
      <c r="A5">
        <v>5</v>
      </c>
      <c r="C5">
        <f t="shared" si="0"/>
        <v>3.6347826087999997</v>
      </c>
      <c r="D5">
        <f t="shared" si="1"/>
        <v>5.8779203241834432</v>
      </c>
      <c r="E5">
        <v>5</v>
      </c>
      <c r="G5">
        <f t="shared" si="2"/>
        <v>3.6347826087999997</v>
      </c>
      <c r="H5">
        <f t="shared" si="3"/>
        <v>7.9706362654032672</v>
      </c>
      <c r="I5">
        <v>5</v>
      </c>
      <c r="K5">
        <f t="shared" si="4"/>
        <v>3.381818182</v>
      </c>
      <c r="L5">
        <f t="shared" si="5"/>
        <v>4.5243021652344471</v>
      </c>
      <c r="M5">
        <v>5</v>
      </c>
      <c r="O5">
        <f t="shared" si="6"/>
        <v>3.381818182</v>
      </c>
      <c r="P5">
        <f t="shared" si="7"/>
        <v>9.4954478069060215</v>
      </c>
      <c r="Q5">
        <v>5</v>
      </c>
      <c r="S5">
        <f t="shared" si="8"/>
        <v>2.9014405167000001</v>
      </c>
      <c r="T5">
        <f t="shared" si="9"/>
        <v>0.44504576031313281</v>
      </c>
      <c r="U5">
        <v>5</v>
      </c>
      <c r="W5">
        <f t="shared" si="10"/>
        <v>2.5381740901000001</v>
      </c>
      <c r="X5">
        <f t="shared" si="11"/>
        <v>5.0548492739058215</v>
      </c>
    </row>
    <row r="6" spans="1:24" x14ac:dyDescent="0.25">
      <c r="A6">
        <v>6</v>
      </c>
      <c r="C6">
        <f t="shared" si="0"/>
        <v>3.8434782609999996</v>
      </c>
      <c r="D6">
        <f t="shared" si="1"/>
        <v>5.8339291017220587</v>
      </c>
      <c r="E6">
        <v>6</v>
      </c>
      <c r="G6">
        <f t="shared" si="2"/>
        <v>3.8434782609999996</v>
      </c>
      <c r="H6">
        <f t="shared" si="3"/>
        <v>7.8733929471968915</v>
      </c>
      <c r="I6">
        <v>6</v>
      </c>
      <c r="K6">
        <f t="shared" si="4"/>
        <v>3.5272727274999998</v>
      </c>
      <c r="L6">
        <f t="shared" si="5"/>
        <v>4.4831769244041864</v>
      </c>
      <c r="M6">
        <v>6</v>
      </c>
      <c r="O6">
        <f t="shared" si="6"/>
        <v>3.5272727274999998</v>
      </c>
      <c r="P6">
        <f t="shared" si="7"/>
        <v>9.4381368527069647</v>
      </c>
      <c r="Q6">
        <v>6</v>
      </c>
      <c r="S6">
        <f t="shared" si="8"/>
        <v>2.9823543193000002</v>
      </c>
      <c r="T6">
        <f t="shared" si="9"/>
        <v>0.53817402494948308</v>
      </c>
      <c r="U6">
        <v>6</v>
      </c>
      <c r="W6">
        <f t="shared" si="10"/>
        <v>2.6246766070000001</v>
      </c>
      <c r="X6">
        <f t="shared" si="11"/>
        <v>5.126208805934878</v>
      </c>
    </row>
    <row r="7" spans="1:24" x14ac:dyDescent="0.25">
      <c r="A7">
        <v>7</v>
      </c>
      <c r="C7">
        <f t="shared" si="0"/>
        <v>4.0521739131999999</v>
      </c>
      <c r="D7">
        <f t="shared" si="1"/>
        <v>5.7896856880353988</v>
      </c>
      <c r="E7">
        <v>7</v>
      </c>
      <c r="G7">
        <f t="shared" si="2"/>
        <v>4.0521739131999999</v>
      </c>
      <c r="H7">
        <f t="shared" si="3"/>
        <v>7.776401820215793</v>
      </c>
      <c r="I7">
        <v>7</v>
      </c>
      <c r="K7">
        <f t="shared" si="4"/>
        <v>3.6727272729999996</v>
      </c>
      <c r="L7">
        <f t="shared" si="5"/>
        <v>4.441889476478055</v>
      </c>
      <c r="M7">
        <v>7</v>
      </c>
      <c r="O7">
        <f t="shared" si="6"/>
        <v>3.6727272729999996</v>
      </c>
      <c r="P7">
        <f t="shared" si="7"/>
        <v>9.3809881056037767</v>
      </c>
      <c r="Q7">
        <v>7</v>
      </c>
      <c r="S7">
        <f t="shared" si="8"/>
        <v>3.0632681219000002</v>
      </c>
      <c r="T7">
        <f t="shared" si="9"/>
        <v>0.63084573900864616</v>
      </c>
      <c r="U7">
        <v>7</v>
      </c>
      <c r="W7">
        <f t="shared" si="10"/>
        <v>2.7111791239</v>
      </c>
      <c r="X7">
        <f t="shared" si="11"/>
        <v>5.1980550663803413</v>
      </c>
    </row>
    <row r="8" spans="1:24" x14ac:dyDescent="0.25">
      <c r="A8">
        <v>8</v>
      </c>
      <c r="C8">
        <f t="shared" si="0"/>
        <v>4.2608695654000002</v>
      </c>
      <c r="D8">
        <f t="shared" si="1"/>
        <v>5.7451694536756177</v>
      </c>
      <c r="E8">
        <v>8</v>
      </c>
      <c r="G8">
        <f t="shared" si="2"/>
        <v>4.2608695654000002</v>
      </c>
      <c r="H8">
        <f t="shared" si="3"/>
        <v>7.6796835139078157</v>
      </c>
      <c r="I8">
        <v>8</v>
      </c>
      <c r="K8">
        <f t="shared" si="4"/>
        <v>3.8181818184999998</v>
      </c>
      <c r="L8">
        <f t="shared" si="5"/>
        <v>4.4004382538016236</v>
      </c>
      <c r="M8">
        <v>8</v>
      </c>
      <c r="O8">
        <f t="shared" si="6"/>
        <v>3.8181818184999998</v>
      </c>
      <c r="P8">
        <f t="shared" si="7"/>
        <v>9.324003133250887</v>
      </c>
      <c r="Q8">
        <v>8</v>
      </c>
      <c r="S8">
        <f t="shared" si="8"/>
        <v>3.1441819244999998</v>
      </c>
      <c r="T8">
        <f t="shared" si="9"/>
        <v>0.72305425093478393</v>
      </c>
      <c r="U8">
        <v>8</v>
      </c>
      <c r="W8">
        <f t="shared" si="10"/>
        <v>2.7976816408</v>
      </c>
      <c r="X8">
        <f t="shared" si="11"/>
        <v>5.2703967100553779</v>
      </c>
    </row>
    <row r="9" spans="1:24" x14ac:dyDescent="0.25">
      <c r="A9">
        <v>9</v>
      </c>
      <c r="C9">
        <f t="shared" si="0"/>
        <v>4.4695652175999996</v>
      </c>
      <c r="D9">
        <f t="shared" si="1"/>
        <v>5.7003577071244367</v>
      </c>
      <c r="E9">
        <v>9</v>
      </c>
      <c r="G9">
        <f t="shared" si="2"/>
        <v>4.4695652175999996</v>
      </c>
      <c r="H9">
        <f t="shared" si="3"/>
        <v>7.5832607197912383</v>
      </c>
      <c r="I9">
        <v>9</v>
      </c>
      <c r="K9">
        <f t="shared" si="4"/>
        <v>3.9636363640000001</v>
      </c>
      <c r="L9">
        <f t="shared" si="5"/>
        <v>4.3588217014548061</v>
      </c>
      <c r="M9">
        <v>9</v>
      </c>
      <c r="O9">
        <f t="shared" si="6"/>
        <v>3.9636363640000001</v>
      </c>
      <c r="P9">
        <f t="shared" si="7"/>
        <v>9.267183490568387</v>
      </c>
      <c r="Q9">
        <v>9</v>
      </c>
      <c r="S9">
        <f t="shared" si="8"/>
        <v>3.2250957271000003</v>
      </c>
      <c r="T9">
        <f t="shared" si="9"/>
        <v>0.8147930490056563</v>
      </c>
      <c r="U9">
        <v>9</v>
      </c>
      <c r="W9">
        <f t="shared" si="10"/>
        <v>2.8841841577</v>
      </c>
      <c r="X9">
        <f t="shared" si="11"/>
        <v>5.3432422952017102</v>
      </c>
    </row>
    <row r="10" spans="1:24" x14ac:dyDescent="0.25">
      <c r="A10">
        <v>10</v>
      </c>
      <c r="C10">
        <f t="shared" si="0"/>
        <v>4.6782608697999999</v>
      </c>
      <c r="D10">
        <f t="shared" si="1"/>
        <v>5.6552254716460473</v>
      </c>
      <c r="E10">
        <v>10</v>
      </c>
      <c r="G10">
        <f t="shared" si="2"/>
        <v>4.6782608697999999</v>
      </c>
      <c r="H10">
        <f t="shared" si="3"/>
        <v>7.4871584146018693</v>
      </c>
      <c r="I10">
        <v>10</v>
      </c>
      <c r="K10">
        <f t="shared" si="4"/>
        <v>4.1090909094999999</v>
      </c>
      <c r="L10">
        <f t="shared" si="5"/>
        <v>4.3170382784996697</v>
      </c>
      <c r="M10">
        <v>10</v>
      </c>
      <c r="O10">
        <f t="shared" si="6"/>
        <v>4.1090909094999999</v>
      </c>
      <c r="P10">
        <f t="shared" si="7"/>
        <v>9.2105307184942049</v>
      </c>
      <c r="Q10">
        <v>10</v>
      </c>
      <c r="S10">
        <f t="shared" si="8"/>
        <v>3.3060095296999998</v>
      </c>
      <c r="T10">
        <f t="shared" si="9"/>
        <v>0.9060557772774227</v>
      </c>
      <c r="U10">
        <v>10</v>
      </c>
      <c r="W10">
        <f t="shared" si="10"/>
        <v>2.9706866746</v>
      </c>
      <c r="X10">
        <f t="shared" si="11"/>
        <v>5.4166002632125974</v>
      </c>
    </row>
    <row r="11" spans="1:24" x14ac:dyDescent="0.25">
      <c r="A11">
        <v>11</v>
      </c>
      <c r="C11">
        <f t="shared" si="0"/>
        <v>4.8869565220000002</v>
      </c>
      <c r="D11">
        <f t="shared" si="1"/>
        <v>5.6097452409728454</v>
      </c>
      <c r="E11">
        <v>11</v>
      </c>
      <c r="G11">
        <f t="shared" si="2"/>
        <v>4.8869565220000002</v>
      </c>
      <c r="H11">
        <f t="shared" si="3"/>
        <v>7.3914041046073109</v>
      </c>
      <c r="I11">
        <v>11</v>
      </c>
      <c r="K11">
        <f t="shared" si="4"/>
        <v>4.2545454549999997</v>
      </c>
      <c r="L11">
        <f t="shared" si="5"/>
        <v>4.2750864592474418</v>
      </c>
      <c r="M11">
        <v>11</v>
      </c>
      <c r="O11">
        <f t="shared" si="6"/>
        <v>4.2545454549999997</v>
      </c>
      <c r="P11">
        <f t="shared" si="7"/>
        <v>9.1540463427171144</v>
      </c>
      <c r="Q11">
        <v>11</v>
      </c>
      <c r="S11">
        <f t="shared" si="8"/>
        <v>3.3869233323000003</v>
      </c>
      <c r="T11">
        <f t="shared" si="9"/>
        <v>0.99683625168585621</v>
      </c>
      <c r="U11">
        <v>11</v>
      </c>
      <c r="W11">
        <f t="shared" si="10"/>
        <v>3.0571891915</v>
      </c>
      <c r="X11">
        <f t="shared" si="11"/>
        <v>5.4904789177269757</v>
      </c>
    </row>
    <row r="12" spans="1:24" x14ac:dyDescent="0.25">
      <c r="A12">
        <v>12</v>
      </c>
      <c r="C12">
        <f t="shared" si="0"/>
        <v>5.0956521741999996</v>
      </c>
      <c r="D12">
        <f t="shared" si="1"/>
        <v>5.5638867136912546</v>
      </c>
      <c r="E12">
        <v>12</v>
      </c>
      <c r="G12">
        <f t="shared" si="2"/>
        <v>5.0956521741999996</v>
      </c>
      <c r="H12">
        <f t="shared" si="3"/>
        <v>7.2960280912211433</v>
      </c>
      <c r="I12">
        <v>12</v>
      </c>
      <c r="K12">
        <f t="shared" si="4"/>
        <v>4.4000000005000004</v>
      </c>
      <c r="L12">
        <f t="shared" si="5"/>
        <v>4.2329647345429668</v>
      </c>
      <c r="M12">
        <v>12</v>
      </c>
      <c r="O12">
        <f t="shared" si="6"/>
        <v>4.4000000005000004</v>
      </c>
      <c r="P12">
        <f t="shared" si="7"/>
        <v>9.09773187239227</v>
      </c>
      <c r="Q12">
        <v>12</v>
      </c>
      <c r="S12">
        <f t="shared" si="8"/>
        <v>3.4678371348999999</v>
      </c>
      <c r="T12">
        <f t="shared" si="9"/>
        <v>1.0871284762264812</v>
      </c>
      <c r="U12">
        <v>12</v>
      </c>
      <c r="W12">
        <f t="shared" si="10"/>
        <v>3.1436917084</v>
      </c>
      <c r="X12">
        <f t="shared" si="11"/>
        <v>5.5648864031776339</v>
      </c>
    </row>
    <row r="13" spans="1:24" x14ac:dyDescent="0.25">
      <c r="A13">
        <v>13</v>
      </c>
      <c r="C13">
        <f t="shared" si="0"/>
        <v>5.3043478263999999</v>
      </c>
      <c r="D13">
        <f t="shared" si="1"/>
        <v>5.517616507106597</v>
      </c>
      <c r="E13">
        <v>13</v>
      </c>
      <c r="G13">
        <f t="shared" si="2"/>
        <v>5.3043478263999999</v>
      </c>
      <c r="H13">
        <f t="shared" si="3"/>
        <v>7.2010637571380425</v>
      </c>
      <c r="I13">
        <v>13</v>
      </c>
      <c r="K13">
        <f t="shared" si="4"/>
        <v>4.5454545460000002</v>
      </c>
      <c r="L13">
        <f t="shared" si="5"/>
        <v>4.1906716130648043</v>
      </c>
      <c r="M13">
        <v>13</v>
      </c>
      <c r="O13">
        <f t="shared" si="6"/>
        <v>4.5454545460000002</v>
      </c>
      <c r="P13">
        <f t="shared" si="7"/>
        <v>9.0415887988411132</v>
      </c>
      <c r="Q13">
        <v>13</v>
      </c>
      <c r="S13">
        <f t="shared" si="8"/>
        <v>3.5487509374999999</v>
      </c>
      <c r="T13">
        <f t="shared" si="9"/>
        <v>1.1769266591310319</v>
      </c>
      <c r="U13">
        <v>13</v>
      </c>
      <c r="W13">
        <f t="shared" si="10"/>
        <v>3.2301942253</v>
      </c>
      <c r="X13">
        <f t="shared" si="11"/>
        <v>5.6398306828870339</v>
      </c>
    </row>
    <row r="14" spans="1:24" x14ac:dyDescent="0.25">
      <c r="A14">
        <v>14</v>
      </c>
      <c r="C14">
        <f t="shared" si="0"/>
        <v>5.5130434786000002</v>
      </c>
      <c r="D14">
        <f t="shared" si="1"/>
        <v>5.4708978526897409</v>
      </c>
      <c r="E14">
        <v>14</v>
      </c>
      <c r="G14">
        <f t="shared" si="2"/>
        <v>5.5130434786000002</v>
      </c>
      <c r="H14">
        <f t="shared" si="3"/>
        <v>7.1065478708871384</v>
      </c>
      <c r="I14">
        <v>14</v>
      </c>
      <c r="K14">
        <f t="shared" si="4"/>
        <v>4.6909090915</v>
      </c>
      <c r="L14">
        <f t="shared" si="5"/>
        <v>4.1482056226389812</v>
      </c>
      <c r="M14">
        <v>14</v>
      </c>
      <c r="O14">
        <f t="shared" si="6"/>
        <v>4.6909090915</v>
      </c>
      <c r="P14">
        <f t="shared" si="7"/>
        <v>8.9856185942376161</v>
      </c>
      <c r="Q14">
        <v>14</v>
      </c>
      <c r="S14">
        <f t="shared" si="8"/>
        <v>3.6296647401</v>
      </c>
      <c r="T14">
        <f t="shared" si="9"/>
        <v>1.266225228952977</v>
      </c>
      <c r="U14">
        <v>14</v>
      </c>
      <c r="W14">
        <f t="shared" si="10"/>
        <v>3.3166967422000004</v>
      </c>
      <c r="X14">
        <f t="shared" si="11"/>
        <v>5.7153195168149331</v>
      </c>
    </row>
    <row r="15" spans="1:24" x14ac:dyDescent="0.25">
      <c r="A15">
        <v>15</v>
      </c>
      <c r="C15">
        <f t="shared" si="0"/>
        <v>5.7217391307999996</v>
      </c>
      <c r="D15">
        <f t="shared" si="1"/>
        <v>5.4236902770686806</v>
      </c>
      <c r="E15">
        <v>15</v>
      </c>
      <c r="G15">
        <f t="shared" si="2"/>
        <v>5.7217391307999996</v>
      </c>
      <c r="H15">
        <f t="shared" si="3"/>
        <v>7.0125209058404421</v>
      </c>
      <c r="I15">
        <v>15</v>
      </c>
      <c r="K15">
        <f t="shared" si="4"/>
        <v>4.8363636369999998</v>
      </c>
      <c r="L15">
        <f t="shared" si="5"/>
        <v>4.1055653115643533</v>
      </c>
      <c r="M15">
        <v>15</v>
      </c>
      <c r="O15">
        <f t="shared" si="6"/>
        <v>4.8363636369999998</v>
      </c>
      <c r="P15">
        <f t="shared" si="7"/>
        <v>8.9298227102829255</v>
      </c>
      <c r="Q15">
        <v>15</v>
      </c>
      <c r="S15">
        <f t="shared" si="8"/>
        <v>3.7105785427</v>
      </c>
      <c r="T15">
        <f t="shared" si="9"/>
        <v>1.355018850470938</v>
      </c>
      <c r="U15">
        <v>15</v>
      </c>
      <c r="W15">
        <f t="shared" si="10"/>
        <v>3.4031992591</v>
      </c>
      <c r="X15">
        <f t="shared" si="11"/>
        <v>5.791360439072136</v>
      </c>
    </row>
    <row r="16" spans="1:24" x14ac:dyDescent="0.25">
      <c r="A16">
        <v>16</v>
      </c>
      <c r="C16">
        <f t="shared" si="0"/>
        <v>5.9304347829999999</v>
      </c>
      <c r="D16">
        <f t="shared" si="1"/>
        <v>5.3759492750703854</v>
      </c>
      <c r="E16">
        <v>16</v>
      </c>
      <c r="G16">
        <f t="shared" si="2"/>
        <v>5.9304347829999999</v>
      </c>
      <c r="H16">
        <f t="shared" si="3"/>
        <v>6.919027367170977</v>
      </c>
      <c r="I16">
        <v>16</v>
      </c>
      <c r="K16">
        <f t="shared" si="4"/>
        <v>4.9818181824999996</v>
      </c>
      <c r="L16">
        <f t="shared" si="5"/>
        <v>4.0627492499473767</v>
      </c>
      <c r="M16">
        <v>16</v>
      </c>
      <c r="O16">
        <f t="shared" si="6"/>
        <v>4.9818181824999996</v>
      </c>
      <c r="P16">
        <f t="shared" si="7"/>
        <v>8.8742025768705837</v>
      </c>
      <c r="Q16">
        <v>16</v>
      </c>
      <c r="S16">
        <f t="shared" si="8"/>
        <v>3.7914923453</v>
      </c>
      <c r="T16">
        <f t="shared" si="9"/>
        <v>1.4433024403155978</v>
      </c>
      <c r="U16">
        <v>16</v>
      </c>
      <c r="W16">
        <f t="shared" si="10"/>
        <v>3.4897017760000004</v>
      </c>
      <c r="X16">
        <f t="shared" si="11"/>
        <v>5.8679607353242353</v>
      </c>
    </row>
    <row r="17" spans="1:24" x14ac:dyDescent="0.25">
      <c r="A17">
        <v>17</v>
      </c>
      <c r="C17">
        <f t="shared" si="0"/>
        <v>6.1391304352000002</v>
      </c>
      <c r="D17">
        <f t="shared" si="1"/>
        <v>5.3276259846999867</v>
      </c>
      <c r="E17">
        <v>17</v>
      </c>
      <c r="G17">
        <f t="shared" si="2"/>
        <v>6.1391304352000002</v>
      </c>
      <c r="H17">
        <f t="shared" si="3"/>
        <v>6.8261161168736173</v>
      </c>
      <c r="I17">
        <v>17</v>
      </c>
      <c r="K17">
        <f t="shared" si="4"/>
        <v>5.1272727279999994</v>
      </c>
      <c r="L17">
        <f t="shared" si="5"/>
        <v>4.0197560310440119</v>
      </c>
      <c r="M17">
        <v>17</v>
      </c>
      <c r="O17">
        <f t="shared" si="6"/>
        <v>5.1272727279999994</v>
      </c>
      <c r="P17">
        <f t="shared" si="7"/>
        <v>8.8187596007446309</v>
      </c>
      <c r="Q17">
        <v>17</v>
      </c>
      <c r="S17">
        <f t="shared" si="8"/>
        <v>3.8724061479</v>
      </c>
      <c r="T17">
        <f t="shared" si="9"/>
        <v>1.5310711822233611</v>
      </c>
      <c r="U17">
        <v>17</v>
      </c>
      <c r="W17">
        <f t="shared" si="10"/>
        <v>3.5762042929</v>
      </c>
      <c r="X17">
        <f t="shared" si="11"/>
        <v>5.9451274202179158</v>
      </c>
    </row>
    <row r="18" spans="1:24" x14ac:dyDescent="0.25">
      <c r="A18">
        <v>18</v>
      </c>
      <c r="C18">
        <f t="shared" si="0"/>
        <v>6.3478260873999997</v>
      </c>
      <c r="D18">
        <f t="shared" si="1"/>
        <v>5.278666878319215</v>
      </c>
      <c r="E18">
        <v>18</v>
      </c>
      <c r="G18">
        <f t="shared" si="2"/>
        <v>6.3478260873999997</v>
      </c>
      <c r="H18">
        <f t="shared" si="3"/>
        <v>6.7338406825866306</v>
      </c>
      <c r="I18">
        <v>18</v>
      </c>
      <c r="K18">
        <f t="shared" si="4"/>
        <v>5.2727272734999993</v>
      </c>
      <c r="L18">
        <f t="shared" si="5"/>
        <v>3.9765842726063605</v>
      </c>
      <c r="M18">
        <v>18</v>
      </c>
      <c r="O18">
        <f t="shared" si="6"/>
        <v>5.2727272734999993</v>
      </c>
      <c r="P18">
        <f t="shared" si="7"/>
        <v>8.7634951641529639</v>
      </c>
      <c r="Q18">
        <v>18</v>
      </c>
      <c r="S18">
        <f t="shared" si="8"/>
        <v>3.9533199505000001</v>
      </c>
      <c r="T18">
        <f t="shared" si="9"/>
        <v>1.6183205418186204</v>
      </c>
      <c r="U18">
        <v>18</v>
      </c>
      <c r="W18">
        <f t="shared" si="10"/>
        <v>3.6627068098000004</v>
      </c>
      <c r="X18">
        <f t="shared" si="11"/>
        <v>6.0228672149701694</v>
      </c>
    </row>
    <row r="19" spans="1:24" x14ac:dyDescent="0.25">
      <c r="A19">
        <v>19</v>
      </c>
      <c r="C19">
        <f t="shared" si="0"/>
        <v>6.5565217396</v>
      </c>
      <c r="D19">
        <f t="shared" si="1"/>
        <v>5.2290134897726439</v>
      </c>
      <c r="E19">
        <v>19</v>
      </c>
      <c r="G19">
        <f t="shared" si="2"/>
        <v>6.5565217396</v>
      </c>
      <c r="H19">
        <f t="shared" si="3"/>
        <v>6.6422595304654415</v>
      </c>
      <c r="I19">
        <v>19</v>
      </c>
      <c r="K19">
        <f t="shared" si="4"/>
        <v>5.418181819</v>
      </c>
      <c r="L19">
        <f t="shared" si="5"/>
        <v>3.9332326182315365</v>
      </c>
      <c r="M19">
        <v>19</v>
      </c>
      <c r="O19">
        <f t="shared" si="6"/>
        <v>5.418181819</v>
      </c>
      <c r="P19">
        <f t="shared" si="7"/>
        <v>8.708410623498466</v>
      </c>
      <c r="Q19">
        <v>19</v>
      </c>
      <c r="S19">
        <f t="shared" si="8"/>
        <v>4.0342337531000005</v>
      </c>
      <c r="T19">
        <f t="shared" si="9"/>
        <v>1.7050462808260867</v>
      </c>
      <c r="U19">
        <v>19</v>
      </c>
      <c r="W19">
        <f t="shared" si="10"/>
        <v>3.7492093267</v>
      </c>
      <c r="X19">
        <f t="shared" si="11"/>
        <v>6.1011865252671882</v>
      </c>
    </row>
    <row r="20" spans="1:24" x14ac:dyDescent="0.25">
      <c r="A20">
        <v>20</v>
      </c>
      <c r="C20">
        <f t="shared" si="0"/>
        <v>6.7652173918000003</v>
      </c>
      <c r="D20">
        <f t="shared" si="1"/>
        <v>5.1786022038396222</v>
      </c>
      <c r="E20">
        <v>20</v>
      </c>
      <c r="G20">
        <f t="shared" si="2"/>
        <v>6.7652173918000003</v>
      </c>
      <c r="H20">
        <f t="shared" si="3"/>
        <v>6.5514362757307048</v>
      </c>
      <c r="I20">
        <v>20</v>
      </c>
      <c r="K20">
        <f t="shared" si="4"/>
        <v>5.5636363644999998</v>
      </c>
      <c r="L20">
        <f t="shared" si="5"/>
        <v>3.8896997387102075</v>
      </c>
      <c r="M20">
        <v>20</v>
      </c>
      <c r="O20">
        <f t="shared" si="6"/>
        <v>5.5636363644999998</v>
      </c>
      <c r="P20">
        <f t="shared" si="7"/>
        <v>8.653507307990477</v>
      </c>
      <c r="Q20">
        <v>20</v>
      </c>
      <c r="S20">
        <f t="shared" si="8"/>
        <v>4.1151475557000001</v>
      </c>
      <c r="T20">
        <f t="shared" si="9"/>
        <v>1.7912444706153217</v>
      </c>
      <c r="U20">
        <v>20</v>
      </c>
      <c r="W20">
        <f t="shared" si="10"/>
        <v>3.8357118436000004</v>
      </c>
      <c r="X20">
        <f t="shared" si="11"/>
        <v>6.1800914196248637</v>
      </c>
    </row>
    <row r="21" spans="1:24" x14ac:dyDescent="0.25">
      <c r="A21">
        <v>21</v>
      </c>
      <c r="C21">
        <f t="shared" si="0"/>
        <v>6.9739130439999997</v>
      </c>
      <c r="D21">
        <f t="shared" si="1"/>
        <v>5.127364142027</v>
      </c>
      <c r="E21">
        <v>21</v>
      </c>
      <c r="G21">
        <f t="shared" si="2"/>
        <v>6.9739130439999997</v>
      </c>
      <c r="H21">
        <f t="shared" si="3"/>
        <v>6.4614397968755686</v>
      </c>
      <c r="I21">
        <v>21</v>
      </c>
      <c r="K21">
        <f t="shared" si="4"/>
        <v>5.7090909100000005</v>
      </c>
      <c r="L21">
        <f t="shared" si="5"/>
        <v>3.8459843333721078</v>
      </c>
      <c r="M21">
        <v>21</v>
      </c>
      <c r="O21">
        <f t="shared" si="6"/>
        <v>5.7090909100000005</v>
      </c>
      <c r="P21">
        <f t="shared" si="7"/>
        <v>8.5987865182992564</v>
      </c>
      <c r="Q21">
        <v>21</v>
      </c>
      <c r="S21">
        <f t="shared" si="8"/>
        <v>4.1960613582999997</v>
      </c>
      <c r="T21">
        <f t="shared" si="9"/>
        <v>1.8769115049814564</v>
      </c>
      <c r="U21">
        <v>21</v>
      </c>
      <c r="W21">
        <f t="shared" si="10"/>
        <v>3.9222143604999999</v>
      </c>
      <c r="X21">
        <f t="shared" si="11"/>
        <v>6.259587608366223</v>
      </c>
    </row>
    <row r="22" spans="1:24" x14ac:dyDescent="0.25">
      <c r="A22">
        <v>22</v>
      </c>
      <c r="C22">
        <f t="shared" si="0"/>
        <v>7.1826086962</v>
      </c>
      <c r="D22">
        <f t="shared" si="1"/>
        <v>5.0752251869526308</v>
      </c>
      <c r="E22">
        <v>22</v>
      </c>
      <c r="G22">
        <f t="shared" si="2"/>
        <v>7.1826086962</v>
      </c>
      <c r="H22">
        <f t="shared" si="3"/>
        <v>6.3723442112821793</v>
      </c>
      <c r="I22">
        <v>22</v>
      </c>
      <c r="K22">
        <f t="shared" si="4"/>
        <v>5.8545454555000003</v>
      </c>
      <c r="L22">
        <f t="shared" si="5"/>
        <v>3.8020851314257995</v>
      </c>
      <c r="M22">
        <v>22</v>
      </c>
      <c r="O22">
        <f t="shared" si="6"/>
        <v>5.8545454555000003</v>
      </c>
      <c r="P22">
        <f t="shared" si="7"/>
        <v>8.5442495252162463</v>
      </c>
      <c r="Q22">
        <v>22</v>
      </c>
      <c r="S22">
        <f t="shared" si="8"/>
        <v>4.2769751609000002</v>
      </c>
      <c r="T22">
        <f t="shared" si="9"/>
        <v>1.9620441120690111</v>
      </c>
      <c r="U22">
        <v>22</v>
      </c>
      <c r="W22">
        <f t="shared" si="10"/>
        <v>4.0087168774000004</v>
      </c>
      <c r="X22">
        <f t="shared" si="11"/>
        <v>6.3396804233728865</v>
      </c>
    </row>
    <row r="23" spans="1:24" x14ac:dyDescent="0.25">
      <c r="A23">
        <v>23</v>
      </c>
      <c r="C23">
        <f t="shared" si="0"/>
        <v>7.3913043483999994</v>
      </c>
      <c r="D23">
        <f t="shared" si="1"/>
        <v>5.0221061955820536</v>
      </c>
      <c r="E23">
        <v>23</v>
      </c>
      <c r="G23">
        <f t="shared" si="2"/>
        <v>7.3913043483999994</v>
      </c>
      <c r="H23">
        <f t="shared" si="3"/>
        <v>6.2842286619849981</v>
      </c>
      <c r="I23">
        <v>23</v>
      </c>
      <c r="K23">
        <f t="shared" si="4"/>
        <v>6.0000000010000001</v>
      </c>
      <c r="L23">
        <f t="shared" si="5"/>
        <v>3.758000893289835</v>
      </c>
      <c r="M23">
        <v>23</v>
      </c>
      <c r="O23">
        <f t="shared" si="6"/>
        <v>6.0000000010000001</v>
      </c>
      <c r="P23">
        <f t="shared" si="7"/>
        <v>8.4898975683228919</v>
      </c>
      <c r="Q23">
        <v>23</v>
      </c>
      <c r="S23">
        <f t="shared" si="8"/>
        <v>4.3578889634999998</v>
      </c>
      <c r="T23">
        <f t="shared" si="9"/>
        <v>2.0466393653498876</v>
      </c>
      <c r="U23">
        <v>23</v>
      </c>
      <c r="W23">
        <f t="shared" si="10"/>
        <v>4.0952193942999999</v>
      </c>
      <c r="X23">
        <f t="shared" si="11"/>
        <v>6.4203747987673889</v>
      </c>
    </row>
    <row r="24" spans="1:24" x14ac:dyDescent="0.25">
      <c r="A24">
        <v>24</v>
      </c>
      <c r="C24">
        <f t="shared" si="0"/>
        <v>7.6000000005999997</v>
      </c>
      <c r="D24">
        <f t="shared" si="1"/>
        <v>4.9679234579997145</v>
      </c>
      <c r="E24">
        <v>24</v>
      </c>
      <c r="G24">
        <f t="shared" si="2"/>
        <v>7.6000000005999997</v>
      </c>
      <c r="H24">
        <f t="shared" si="3"/>
        <v>6.197176858899577</v>
      </c>
      <c r="I24">
        <v>24</v>
      </c>
      <c r="K24">
        <f t="shared" si="4"/>
        <v>6.1454545464999999</v>
      </c>
      <c r="L24">
        <f t="shared" si="5"/>
        <v>3.7137304119124597</v>
      </c>
      <c r="M24">
        <v>24</v>
      </c>
      <c r="O24">
        <f t="shared" si="6"/>
        <v>6.1454545464999999</v>
      </c>
      <c r="P24">
        <f t="shared" si="7"/>
        <v>8.4357318546709497</v>
      </c>
      <c r="Q24">
        <v>24</v>
      </c>
      <c r="S24">
        <f t="shared" si="8"/>
        <v>4.4388027661000002</v>
      </c>
      <c r="T24">
        <f t="shared" si="9"/>
        <v>2.1306946935719049</v>
      </c>
      <c r="U24">
        <v>24</v>
      </c>
      <c r="W24">
        <f t="shared" si="10"/>
        <v>4.1817219112000004</v>
      </c>
      <c r="X24">
        <f t="shared" si="11"/>
        <v>6.501675252681018</v>
      </c>
    </row>
    <row r="25" spans="1:24" x14ac:dyDescent="0.25">
      <c r="A25">
        <v>25</v>
      </c>
      <c r="C25">
        <f t="shared" si="0"/>
        <v>7.8086956528</v>
      </c>
      <c r="D25">
        <f t="shared" si="1"/>
        <v>4.9125894611992544</v>
      </c>
      <c r="E25">
        <v>25</v>
      </c>
      <c r="G25">
        <f t="shared" si="2"/>
        <v>7.8086956528</v>
      </c>
      <c r="H25">
        <f t="shared" si="3"/>
        <v>6.1112763150322786</v>
      </c>
      <c r="I25">
        <v>25</v>
      </c>
      <c r="K25">
        <f t="shared" si="4"/>
        <v>6.2909090919999997</v>
      </c>
      <c r="L25">
        <f t="shared" si="5"/>
        <v>3.6692725140769058</v>
      </c>
      <c r="M25">
        <v>25</v>
      </c>
      <c r="O25">
        <f t="shared" si="6"/>
        <v>6.2909090919999997</v>
      </c>
      <c r="P25">
        <f t="shared" si="7"/>
        <v>8.3817535574771824</v>
      </c>
      <c r="Q25">
        <v>25</v>
      </c>
      <c r="S25">
        <f t="shared" si="8"/>
        <v>4.5197165686999998</v>
      </c>
      <c r="T25">
        <f t="shared" si="9"/>
        <v>2.2142078896006012</v>
      </c>
      <c r="U25">
        <v>25</v>
      </c>
      <c r="W25">
        <f t="shared" si="10"/>
        <v>4.2682244280999999</v>
      </c>
      <c r="X25">
        <f t="shared" si="11"/>
        <v>6.583585870257485</v>
      </c>
    </row>
    <row r="26" spans="1:24" x14ac:dyDescent="0.25">
      <c r="A26">
        <v>26</v>
      </c>
      <c r="C26">
        <f t="shared" si="0"/>
        <v>8.0173913050000003</v>
      </c>
      <c r="D26">
        <f t="shared" si="1"/>
        <v>4.8560140139092001</v>
      </c>
      <c r="E26">
        <v>26</v>
      </c>
      <c r="G26">
        <f t="shared" si="2"/>
        <v>8.0173913050000003</v>
      </c>
      <c r="H26">
        <f t="shared" si="3"/>
        <v>6.0266172216545746</v>
      </c>
      <c r="I26">
        <v>26</v>
      </c>
      <c r="K26">
        <f t="shared" si="4"/>
        <v>6.4363636374999995</v>
      </c>
      <c r="L26">
        <f t="shared" si="5"/>
        <v>3.6246260616893027</v>
      </c>
      <c r="M26">
        <v>26</v>
      </c>
      <c r="O26">
        <f t="shared" si="6"/>
        <v>6.4363636374999995</v>
      </c>
      <c r="P26">
        <f t="shared" si="7"/>
        <v>8.3279638148354671</v>
      </c>
      <c r="Q26">
        <v>26</v>
      </c>
      <c r="S26">
        <f t="shared" si="8"/>
        <v>4.6006303712999994</v>
      </c>
      <c r="T26">
        <f t="shared" si="9"/>
        <v>2.2971771180845284</v>
      </c>
      <c r="U26">
        <v>26</v>
      </c>
      <c r="W26">
        <f t="shared" si="10"/>
        <v>4.3547269450000003</v>
      </c>
      <c r="X26">
        <f t="shared" si="11"/>
        <v>6.666110288036343</v>
      </c>
    </row>
    <row r="27" spans="1:24" x14ac:dyDescent="0.25">
      <c r="A27">
        <v>27</v>
      </c>
      <c r="C27">
        <f t="shared" si="0"/>
        <v>8.2260869571999997</v>
      </c>
      <c r="D27">
        <f t="shared" si="1"/>
        <v>4.798105775692397</v>
      </c>
      <c r="E27">
        <v>27</v>
      </c>
      <c r="G27">
        <f t="shared" si="2"/>
        <v>8.2260869571999997</v>
      </c>
      <c r="H27">
        <f t="shared" si="3"/>
        <v>5.9432909192036192</v>
      </c>
      <c r="I27">
        <v>27</v>
      </c>
      <c r="K27">
        <f t="shared" si="4"/>
        <v>6.5818181829999993</v>
      </c>
      <c r="L27">
        <f t="shared" si="5"/>
        <v>3.5797899530461801</v>
      </c>
      <c r="M27">
        <v>27</v>
      </c>
      <c r="O27">
        <f t="shared" si="6"/>
        <v>6.5818181829999993</v>
      </c>
      <c r="P27">
        <f t="shared" si="7"/>
        <v>8.2743637284492699</v>
      </c>
      <c r="Q27">
        <v>27</v>
      </c>
      <c r="S27">
        <f t="shared" si="8"/>
        <v>4.6815441738999999</v>
      </c>
      <c r="T27">
        <f t="shared" si="9"/>
        <v>2.3796009218826502</v>
      </c>
      <c r="U27">
        <v>27</v>
      </c>
      <c r="W27">
        <f t="shared" si="10"/>
        <v>4.4412294619000008</v>
      </c>
      <c r="X27">
        <f t="shared" si="11"/>
        <v>6.749251679851497</v>
      </c>
    </row>
    <row r="28" spans="1:24" x14ac:dyDescent="0.25">
      <c r="A28">
        <v>28</v>
      </c>
      <c r="C28">
        <f t="shared" si="0"/>
        <v>8.4347826093999991</v>
      </c>
      <c r="D28">
        <f t="shared" si="1"/>
        <v>4.7387742086461557</v>
      </c>
      <c r="E28">
        <v>28</v>
      </c>
      <c r="G28">
        <f t="shared" si="2"/>
        <v>8.4347826093999991</v>
      </c>
      <c r="H28">
        <f t="shared" si="3"/>
        <v>5.8613879455821021</v>
      </c>
      <c r="I28">
        <v>28</v>
      </c>
      <c r="K28">
        <f t="shared" si="4"/>
        <v>6.7272727285</v>
      </c>
      <c r="L28">
        <f t="shared" si="5"/>
        <v>3.5347631240785575</v>
      </c>
      <c r="M28">
        <v>28</v>
      </c>
      <c r="O28">
        <f t="shared" si="6"/>
        <v>6.7272727285</v>
      </c>
      <c r="P28">
        <f t="shared" si="7"/>
        <v>8.2209543623875749</v>
      </c>
      <c r="Q28">
        <v>28</v>
      </c>
      <c r="S28">
        <f t="shared" si="8"/>
        <v>4.7624579765000004</v>
      </c>
      <c r="T28">
        <f t="shared" si="9"/>
        <v>2.4614782272017859</v>
      </c>
      <c r="U28">
        <v>28</v>
      </c>
      <c r="W28">
        <f t="shared" si="10"/>
        <v>4.5277319788000003</v>
      </c>
      <c r="X28">
        <f t="shared" si="11"/>
        <v>6.8330127443696203</v>
      </c>
    </row>
    <row r="29" spans="1:24" x14ac:dyDescent="0.25">
      <c r="A29">
        <v>29</v>
      </c>
      <c r="C29">
        <f t="shared" si="0"/>
        <v>8.6434782615999985</v>
      </c>
      <c r="D29">
        <f t="shared" si="1"/>
        <v>4.6779319313870023</v>
      </c>
      <c r="E29">
        <v>29</v>
      </c>
      <c r="G29">
        <f t="shared" si="2"/>
        <v>8.6434782615999985</v>
      </c>
      <c r="H29">
        <f t="shared" si="3"/>
        <v>5.7809956821734971</v>
      </c>
      <c r="I29">
        <v>29</v>
      </c>
      <c r="K29">
        <f t="shared" si="4"/>
        <v>6.8727272739999998</v>
      </c>
      <c r="L29">
        <f t="shared" si="5"/>
        <v>3.4895445495695485</v>
      </c>
      <c r="M29">
        <v>29</v>
      </c>
      <c r="O29">
        <f t="shared" si="6"/>
        <v>6.8727272739999998</v>
      </c>
      <c r="P29">
        <f t="shared" si="7"/>
        <v>8.1677367418672659</v>
      </c>
      <c r="Q29">
        <v>29</v>
      </c>
      <c r="S29">
        <f t="shared" si="8"/>
        <v>4.8433717790999999</v>
      </c>
      <c r="T29">
        <f t="shared" si="9"/>
        <v>2.5428083474020764</v>
      </c>
      <c r="U29">
        <v>29</v>
      </c>
      <c r="W29">
        <f t="shared" si="10"/>
        <v>4.6142344956999999</v>
      </c>
      <c r="X29">
        <f t="shared" si="11"/>
        <v>6.917395694380712</v>
      </c>
    </row>
    <row r="30" spans="1:24" x14ac:dyDescent="0.25">
      <c r="A30">
        <v>30</v>
      </c>
      <c r="C30">
        <f t="shared" si="0"/>
        <v>8.8521739137999997</v>
      </c>
      <c r="D30">
        <f t="shared" si="1"/>
        <v>4.6154974035804779</v>
      </c>
      <c r="E30">
        <v>30</v>
      </c>
      <c r="G30">
        <f t="shared" si="2"/>
        <v>8.8521739137999997</v>
      </c>
      <c r="H30">
        <f t="shared" si="3"/>
        <v>5.7021956693122613</v>
      </c>
      <c r="I30">
        <v>30</v>
      </c>
      <c r="K30">
        <f t="shared" si="4"/>
        <v>7.0181818194999996</v>
      </c>
      <c r="L30">
        <f t="shared" si="5"/>
        <v>3.4441332443424573</v>
      </c>
      <c r="M30">
        <v>30</v>
      </c>
      <c r="O30">
        <f t="shared" si="6"/>
        <v>7.0181818194999996</v>
      </c>
      <c r="P30">
        <f t="shared" si="7"/>
        <v>8.1147118520650388</v>
      </c>
      <c r="Q30">
        <v>30</v>
      </c>
      <c r="S30">
        <f t="shared" si="8"/>
        <v>4.9242855816999995</v>
      </c>
      <c r="T30">
        <f t="shared" si="9"/>
        <v>2.6235909854391291</v>
      </c>
      <c r="U30">
        <v>30</v>
      </c>
      <c r="W30">
        <f t="shared" si="10"/>
        <v>4.7007370126000003</v>
      </c>
      <c r="X30">
        <f t="shared" si="11"/>
        <v>7.0024022479387806</v>
      </c>
    </row>
    <row r="31" spans="1:24" x14ac:dyDescent="0.25">
      <c r="A31">
        <v>31</v>
      </c>
      <c r="C31">
        <f t="shared" si="0"/>
        <v>9.0608695660000009</v>
      </c>
      <c r="D31">
        <f t="shared" si="1"/>
        <v>4.5513978098589538</v>
      </c>
      <c r="E31">
        <v>31</v>
      </c>
      <c r="G31">
        <f t="shared" si="2"/>
        <v>9.0608695660000009</v>
      </c>
      <c r="H31">
        <f t="shared" si="3"/>
        <v>5.6250607223660269</v>
      </c>
      <c r="I31">
        <v>31</v>
      </c>
      <c r="K31">
        <f t="shared" si="4"/>
        <v>7.1636363650000003</v>
      </c>
      <c r="L31">
        <f t="shared" si="5"/>
        <v>3.3985282644163437</v>
      </c>
      <c r="M31">
        <v>31</v>
      </c>
      <c r="O31">
        <f t="shared" si="6"/>
        <v>7.1636363650000003</v>
      </c>
      <c r="P31">
        <f t="shared" si="7"/>
        <v>8.0618806369618312</v>
      </c>
      <c r="Q31">
        <v>31</v>
      </c>
      <c r="S31">
        <f t="shared" si="8"/>
        <v>5.0051993843</v>
      </c>
      <c r="T31">
        <f t="shared" si="9"/>
        <v>2.7038262349226105</v>
      </c>
      <c r="U31">
        <v>31</v>
      </c>
      <c r="W31">
        <f t="shared" si="10"/>
        <v>4.7872395295000008</v>
      </c>
      <c r="X31">
        <f t="shared" si="11"/>
        <v>7.0880336214346702</v>
      </c>
    </row>
    <row r="32" spans="1:24" x14ac:dyDescent="0.25">
      <c r="A32">
        <v>32</v>
      </c>
      <c r="C32">
        <f t="shared" si="0"/>
        <v>9.2695652182000003</v>
      </c>
      <c r="D32">
        <f t="shared" si="1"/>
        <v>4.4855719537833467</v>
      </c>
      <c r="E32">
        <v>32</v>
      </c>
      <c r="G32">
        <f t="shared" si="2"/>
        <v>9.2695652182000003</v>
      </c>
      <c r="H32">
        <f t="shared" si="3"/>
        <v>5.5496520377738738</v>
      </c>
      <c r="I32">
        <v>32</v>
      </c>
      <c r="K32">
        <f t="shared" si="4"/>
        <v>7.3090909105000001</v>
      </c>
      <c r="L32">
        <f t="shared" si="5"/>
        <v>3.3527287081260537</v>
      </c>
      <c r="M32">
        <v>32</v>
      </c>
      <c r="O32">
        <f t="shared" si="6"/>
        <v>7.3090909105000001</v>
      </c>
      <c r="P32">
        <f t="shared" si="7"/>
        <v>8.0092439982228036</v>
      </c>
      <c r="Q32">
        <v>32</v>
      </c>
      <c r="S32">
        <f t="shared" si="8"/>
        <v>5.0861131869000005</v>
      </c>
      <c r="T32">
        <f t="shared" si="9"/>
        <v>2.7835145797825058</v>
      </c>
      <c r="U32">
        <v>32</v>
      </c>
      <c r="W32">
        <f t="shared" si="10"/>
        <v>4.8737420464000003</v>
      </c>
      <c r="X32">
        <f t="shared" si="11"/>
        <v>7.1742905246658815</v>
      </c>
    </row>
    <row r="33" spans="1:24" x14ac:dyDescent="0.25">
      <c r="A33">
        <v>33</v>
      </c>
      <c r="C33">
        <f t="shared" ref="C33:C64" si="12">2.8+(A33-1)*0.2086956522</f>
        <v>9.4782608703999998</v>
      </c>
      <c r="D33">
        <f t="shared" ref="D33:D64" si="13">8.15419575298999+-0.338374420307542*C33-2.23918594285311*(0.0555555555555556+(C33-9.72222222222222)^2/227.611111111111)^0.5</f>
        <v>4.4179729283747022</v>
      </c>
      <c r="E33">
        <v>33</v>
      </c>
      <c r="G33">
        <f t="shared" ref="G33:G64" si="14">2.8+(E33-1)*0.2086956522</f>
        <v>9.4782608703999998</v>
      </c>
      <c r="H33">
        <f t="shared" ref="H33:H64" si="15">8.15419575298999+-0.338374420307542*G33+2.23918594285311*(0.0555555555555556+(G33-9.72222222222222)^2/227.611111111111)^0.5</f>
        <v>5.4760165225147617</v>
      </c>
      <c r="I33">
        <v>33</v>
      </c>
      <c r="K33">
        <f t="shared" ref="K33:K64" si="16">2.8+(I33-1)*0.1454545455</f>
        <v>7.454545456</v>
      </c>
      <c r="L33">
        <f t="shared" ref="L33:L64" si="17">8.15419575298999+-0.338374420307542*K33-2.23918594285311*(1.05555555555556+(K33-9.72222222222222)^2/227.611111111111)^0.5</f>
        <v>3.3067337172037612</v>
      </c>
      <c r="M33">
        <v>33</v>
      </c>
      <c r="O33">
        <f t="shared" ref="O33:O64" si="18">2.8+(M33-1)*0.1454545455</f>
        <v>7.454545456</v>
      </c>
      <c r="P33">
        <f t="shared" ref="P33:P64" si="19">8.15419575298999+-0.338374420307542*O33+2.23918594285311*(1.05555555555556+(O33-9.72222222222222)^2/227.611111111111)^0.5</f>
        <v>7.9568027941157755</v>
      </c>
      <c r="Q33">
        <v>33</v>
      </c>
      <c r="S33">
        <f t="shared" ref="S33:S64" si="20">2.5777853063+(Q33-1)*0.0809138026</f>
        <v>5.1670269895000001</v>
      </c>
      <c r="T33">
        <f t="shared" ref="T33:T64" si="21">0+1*S33-2.23918594285311*(1.05555555555556+(S33-4.86444444444444)^2/26.0608459089306)^0.5</f>
        <v>2.8626568925458145</v>
      </c>
      <c r="U33">
        <v>33</v>
      </c>
      <c r="W33">
        <f t="shared" ref="W33:W64" si="22">2.1921640225+(U33-1)*0.0865025169</f>
        <v>4.9602445632999999</v>
      </c>
      <c r="X33">
        <f t="shared" ref="X33:X64" si="23">0+1*W33+2.23918594285311*(1.05555555555556+(W33-4.86444444444444)^2/26.0608459089306)^0.5</f>
        <v>7.2611731579497913</v>
      </c>
    </row>
    <row r="34" spans="1:24" x14ac:dyDescent="0.25">
      <c r="A34">
        <v>34</v>
      </c>
      <c r="C34">
        <f t="shared" si="12"/>
        <v>9.6869565225999992</v>
      </c>
      <c r="D34">
        <f t="shared" si="13"/>
        <v>4.34857031335362</v>
      </c>
      <c r="E34">
        <v>34</v>
      </c>
      <c r="G34">
        <f t="shared" si="14"/>
        <v>9.6869565225999992</v>
      </c>
      <c r="H34">
        <f t="shared" si="15"/>
        <v>5.4041845968680837</v>
      </c>
      <c r="I34">
        <v>34</v>
      </c>
      <c r="K34">
        <f t="shared" si="16"/>
        <v>7.6000000014999998</v>
      </c>
      <c r="L34">
        <f t="shared" si="17"/>
        <v>3.2605424778191345</v>
      </c>
      <c r="M34">
        <v>34</v>
      </c>
      <c r="O34">
        <f t="shared" si="18"/>
        <v>7.6000000014999998</v>
      </c>
      <c r="P34">
        <f t="shared" si="19"/>
        <v>7.9045578384710833</v>
      </c>
      <c r="Q34">
        <v>34</v>
      </c>
      <c r="S34">
        <f t="shared" si="20"/>
        <v>5.2479407920999996</v>
      </c>
      <c r="T34">
        <f t="shared" si="21"/>
        <v>2.9412544312379851</v>
      </c>
      <c r="U34">
        <v>34</v>
      </c>
      <c r="W34">
        <f t="shared" si="22"/>
        <v>5.0467470802000003</v>
      </c>
      <c r="X34">
        <f t="shared" si="23"/>
        <v>7.348681211307639</v>
      </c>
    </row>
    <row r="35" spans="1:24" x14ac:dyDescent="0.25">
      <c r="A35">
        <v>35</v>
      </c>
      <c r="C35">
        <f t="shared" si="12"/>
        <v>9.8956521747999986</v>
      </c>
      <c r="D35">
        <f t="shared" si="13"/>
        <v>4.2773516708121377</v>
      </c>
      <c r="E35">
        <v>35</v>
      </c>
      <c r="G35">
        <f t="shared" si="14"/>
        <v>9.8956521747999986</v>
      </c>
      <c r="H35">
        <f t="shared" si="15"/>
        <v>5.3341686987418093</v>
      </c>
      <c r="I35">
        <v>35</v>
      </c>
      <c r="K35">
        <f t="shared" si="16"/>
        <v>7.7454545469999996</v>
      </c>
      <c r="L35">
        <f t="shared" si="17"/>
        <v>3.2141542215752761</v>
      </c>
      <c r="M35">
        <v>35</v>
      </c>
      <c r="O35">
        <f t="shared" si="18"/>
        <v>7.7454545469999996</v>
      </c>
      <c r="P35">
        <f t="shared" si="19"/>
        <v>7.8525098996856233</v>
      </c>
      <c r="Q35">
        <v>35</v>
      </c>
      <c r="S35">
        <f t="shared" si="20"/>
        <v>5.3288545947000001</v>
      </c>
      <c r="T35">
        <f t="shared" si="21"/>
        <v>3.0193088349346646</v>
      </c>
      <c r="U35">
        <v>35</v>
      </c>
      <c r="W35">
        <f t="shared" si="22"/>
        <v>5.1332495971000007</v>
      </c>
      <c r="X35">
        <f t="shared" si="23"/>
        <v>7.4368138657270162</v>
      </c>
    </row>
    <row r="36" spans="1:24" x14ac:dyDescent="0.25">
      <c r="A36">
        <v>36</v>
      </c>
      <c r="C36">
        <f t="shared" si="12"/>
        <v>10.104347827</v>
      </c>
      <c r="D36">
        <f t="shared" si="13"/>
        <v>4.2043231729140444</v>
      </c>
      <c r="E36">
        <v>36</v>
      </c>
      <c r="G36">
        <f t="shared" si="14"/>
        <v>10.104347827</v>
      </c>
      <c r="H36">
        <f t="shared" si="15"/>
        <v>5.2659626559721424</v>
      </c>
      <c r="I36">
        <v>36</v>
      </c>
      <c r="K36">
        <f t="shared" si="16"/>
        <v>7.8909090925000003</v>
      </c>
      <c r="L36">
        <f t="shared" si="17"/>
        <v>3.1675682264576994</v>
      </c>
      <c r="M36">
        <v>36</v>
      </c>
      <c r="O36">
        <f t="shared" si="18"/>
        <v>7.8909090925000003</v>
      </c>
      <c r="P36">
        <f t="shared" si="19"/>
        <v>7.8006596997738811</v>
      </c>
      <c r="Q36">
        <v>36</v>
      </c>
      <c r="S36">
        <f t="shared" si="20"/>
        <v>5.4097683973000006</v>
      </c>
      <c r="T36">
        <f t="shared" si="21"/>
        <v>3.0968221180003224</v>
      </c>
      <c r="U36">
        <v>36</v>
      </c>
      <c r="W36">
        <f t="shared" si="22"/>
        <v>5.2197521140000003</v>
      </c>
      <c r="X36">
        <f t="shared" si="23"/>
        <v>7.5255697964908705</v>
      </c>
    </row>
    <row r="37" spans="1:24" x14ac:dyDescent="0.25">
      <c r="A37">
        <v>37</v>
      </c>
      <c r="C37">
        <f t="shared" si="12"/>
        <v>10.313043479200001</v>
      </c>
      <c r="D37">
        <f t="shared" si="13"/>
        <v>4.1295092892290466</v>
      </c>
      <c r="E37">
        <v>37</v>
      </c>
      <c r="G37">
        <f t="shared" si="14"/>
        <v>10.313043479200001</v>
      </c>
      <c r="H37">
        <f t="shared" si="15"/>
        <v>5.1995419989893801</v>
      </c>
      <c r="I37">
        <v>37</v>
      </c>
      <c r="K37">
        <f t="shared" si="16"/>
        <v>8.036363638000001</v>
      </c>
      <c r="L37">
        <f t="shared" si="17"/>
        <v>3.1207838177336842</v>
      </c>
      <c r="M37">
        <v>37</v>
      </c>
      <c r="O37">
        <f t="shared" si="18"/>
        <v>8.036363638000001</v>
      </c>
      <c r="P37">
        <f t="shared" si="19"/>
        <v>7.7490079134685761</v>
      </c>
      <c r="Q37">
        <v>37</v>
      </c>
      <c r="S37">
        <f t="shared" si="20"/>
        <v>5.4906821999000002</v>
      </c>
      <c r="T37">
        <f t="shared" si="21"/>
        <v>3.1737966630606427</v>
      </c>
      <c r="U37">
        <v>37</v>
      </c>
      <c r="W37">
        <f t="shared" si="22"/>
        <v>5.3062546308999998</v>
      </c>
      <c r="X37">
        <f t="shared" si="23"/>
        <v>7.6149471785415521</v>
      </c>
    </row>
    <row r="38" spans="1:24" x14ac:dyDescent="0.25">
      <c r="A38">
        <v>38</v>
      </c>
      <c r="C38">
        <f t="shared" si="12"/>
        <v>10.5217391314</v>
      </c>
      <c r="D38">
        <f t="shared" si="13"/>
        <v>4.0529515699477034</v>
      </c>
      <c r="E38">
        <v>38</v>
      </c>
      <c r="G38">
        <f t="shared" si="14"/>
        <v>10.5217391314</v>
      </c>
      <c r="H38">
        <f t="shared" si="15"/>
        <v>5.1348651776029666</v>
      </c>
      <c r="I38">
        <v>38</v>
      </c>
      <c r="K38">
        <f t="shared" si="16"/>
        <v>8.181818183499999</v>
      </c>
      <c r="L38">
        <f t="shared" si="17"/>
        <v>3.0738003687994562</v>
      </c>
      <c r="M38">
        <v>38</v>
      </c>
      <c r="O38">
        <f t="shared" si="18"/>
        <v>8.181818183499999</v>
      </c>
      <c r="P38">
        <f t="shared" si="19"/>
        <v>7.6975551673734879</v>
      </c>
      <c r="Q38">
        <v>38</v>
      </c>
      <c r="S38">
        <f t="shared" si="20"/>
        <v>5.5715960024999998</v>
      </c>
      <c r="T38">
        <f t="shared" si="21"/>
        <v>3.2502352127653316</v>
      </c>
      <c r="U38">
        <v>38</v>
      </c>
      <c r="W38">
        <f t="shared" si="22"/>
        <v>5.3927571478000003</v>
      </c>
      <c r="X38">
        <f t="shared" si="23"/>
        <v>7.7049436938293923</v>
      </c>
    </row>
    <row r="39" spans="1:24" x14ac:dyDescent="0.25">
      <c r="A39">
        <v>39</v>
      </c>
      <c r="C39">
        <f t="shared" si="12"/>
        <v>10.7304347836</v>
      </c>
      <c r="D39">
        <f t="shared" si="13"/>
        <v>3.974706662492383</v>
      </c>
      <c r="E39">
        <v>39</v>
      </c>
      <c r="G39">
        <f t="shared" si="14"/>
        <v>10.7304347836</v>
      </c>
      <c r="H39">
        <f t="shared" si="15"/>
        <v>5.0718755443905268</v>
      </c>
      <c r="I39">
        <v>39</v>
      </c>
      <c r="K39">
        <f t="shared" si="16"/>
        <v>8.3272727290000006</v>
      </c>
      <c r="L39">
        <f t="shared" si="17"/>
        <v>3.0266173019727627</v>
      </c>
      <c r="M39">
        <v>39</v>
      </c>
      <c r="O39">
        <f t="shared" si="18"/>
        <v>8.3272727290000006</v>
      </c>
      <c r="P39">
        <f t="shared" si="19"/>
        <v>7.6463020391708589</v>
      </c>
      <c r="Q39">
        <v>39</v>
      </c>
      <c r="S39">
        <f t="shared" si="20"/>
        <v>5.6525098051000002</v>
      </c>
      <c r="T39">
        <f t="shared" si="21"/>
        <v>3.3261408604068508</v>
      </c>
      <c r="U39">
        <v>39</v>
      </c>
      <c r="W39">
        <f t="shared" si="22"/>
        <v>5.4792596647000007</v>
      </c>
      <c r="X39">
        <f t="shared" si="23"/>
        <v>7.7955565405772358</v>
      </c>
    </row>
    <row r="40" spans="1:24" x14ac:dyDescent="0.25">
      <c r="A40">
        <v>40</v>
      </c>
      <c r="C40">
        <f t="shared" si="12"/>
        <v>10.939130435799999</v>
      </c>
      <c r="D40">
        <f t="shared" si="13"/>
        <v>3.8948437732136538</v>
      </c>
      <c r="E40">
        <v>40</v>
      </c>
      <c r="G40">
        <f t="shared" si="14"/>
        <v>10.939130435799999</v>
      </c>
      <c r="H40">
        <f t="shared" si="15"/>
        <v>5.0105038930014993</v>
      </c>
      <c r="I40">
        <v>40</v>
      </c>
      <c r="K40">
        <f t="shared" si="16"/>
        <v>8.4727272745000004</v>
      </c>
      <c r="L40">
        <f t="shared" si="17"/>
        <v>2.979234089228564</v>
      </c>
      <c r="M40">
        <v>40</v>
      </c>
      <c r="O40">
        <f t="shared" si="18"/>
        <v>8.4727272745000004</v>
      </c>
      <c r="P40">
        <f t="shared" si="19"/>
        <v>7.5952490568857396</v>
      </c>
      <c r="Q40">
        <v>40</v>
      </c>
      <c r="S40">
        <f t="shared" si="20"/>
        <v>5.7334236077000007</v>
      </c>
      <c r="T40">
        <f t="shared" si="21"/>
        <v>3.4015170394685756</v>
      </c>
      <c r="U40">
        <v>40</v>
      </c>
      <c r="W40">
        <f t="shared" si="22"/>
        <v>5.5657621816000002</v>
      </c>
      <c r="X40">
        <f t="shared" si="23"/>
        <v>7.8867824443753101</v>
      </c>
    </row>
    <row r="41" spans="1:24" x14ac:dyDescent="0.25">
      <c r="A41">
        <v>41</v>
      </c>
      <c r="C41">
        <f t="shared" si="12"/>
        <v>11.147826087999999</v>
      </c>
      <c r="D41">
        <f t="shared" si="13"/>
        <v>3.8134418213037251</v>
      </c>
      <c r="E41">
        <v>41</v>
      </c>
      <c r="G41">
        <f t="shared" si="14"/>
        <v>11.147826087999999</v>
      </c>
      <c r="H41">
        <f t="shared" si="15"/>
        <v>4.9506713042436683</v>
      </c>
      <c r="I41">
        <v>41</v>
      </c>
      <c r="K41">
        <f t="shared" si="16"/>
        <v>8.6181818200000002</v>
      </c>
      <c r="L41">
        <f t="shared" si="17"/>
        <v>2.9316502528756549</v>
      </c>
      <c r="M41">
        <v>41</v>
      </c>
      <c r="O41">
        <f t="shared" si="18"/>
        <v>8.6181818200000002</v>
      </c>
      <c r="P41">
        <f t="shared" si="19"/>
        <v>7.5443966982093302</v>
      </c>
      <c r="Q41">
        <v>41</v>
      </c>
      <c r="S41">
        <f t="shared" si="20"/>
        <v>5.8143374103000003</v>
      </c>
      <c r="T41">
        <f t="shared" si="21"/>
        <v>3.4763675121828337</v>
      </c>
      <c r="U41">
        <v>41</v>
      </c>
      <c r="W41">
        <f t="shared" si="22"/>
        <v>5.6522646984999998</v>
      </c>
      <c r="X41">
        <f t="shared" si="23"/>
        <v>7.9786176710052716</v>
      </c>
    </row>
    <row r="42" spans="1:24" x14ac:dyDescent="0.25">
      <c r="A42">
        <v>42</v>
      </c>
      <c r="C42">
        <f t="shared" si="12"/>
        <v>11.356521740199998</v>
      </c>
      <c r="D42">
        <f t="shared" si="13"/>
        <v>3.7305865276719121</v>
      </c>
      <c r="E42">
        <v>42</v>
      </c>
      <c r="G42">
        <f t="shared" si="14"/>
        <v>11.356521740199998</v>
      </c>
      <c r="H42">
        <f t="shared" si="15"/>
        <v>4.8922920572077242</v>
      </c>
      <c r="I42">
        <v>42</v>
      </c>
      <c r="K42">
        <f t="shared" si="16"/>
        <v>8.7636363655</v>
      </c>
      <c r="L42">
        <f t="shared" si="17"/>
        <v>2.8838653661722549</v>
      </c>
      <c r="M42">
        <v>42</v>
      </c>
      <c r="O42">
        <f t="shared" si="18"/>
        <v>8.7636363655</v>
      </c>
      <c r="P42">
        <f t="shared" si="19"/>
        <v>7.4937453898834114</v>
      </c>
      <c r="Q42">
        <v>42</v>
      </c>
      <c r="S42">
        <f t="shared" si="20"/>
        <v>5.8952512128999999</v>
      </c>
      <c r="T42">
        <f t="shared" si="21"/>
        <v>3.5506963571851413</v>
      </c>
      <c r="U42">
        <v>42</v>
      </c>
      <c r="W42">
        <f t="shared" si="22"/>
        <v>5.7387672154000002</v>
      </c>
      <c r="X42">
        <f t="shared" si="23"/>
        <v>8.0710580408783059</v>
      </c>
    </row>
    <row r="43" spans="1:24" x14ac:dyDescent="0.25">
      <c r="A43">
        <v>43</v>
      </c>
      <c r="C43">
        <f t="shared" si="12"/>
        <v>11.565217392400001</v>
      </c>
      <c r="D43">
        <f t="shared" si="13"/>
        <v>3.6463676453149749</v>
      </c>
      <c r="E43">
        <v>43</v>
      </c>
      <c r="G43">
        <f t="shared" si="14"/>
        <v>11.565217392400001</v>
      </c>
      <c r="H43">
        <f t="shared" si="15"/>
        <v>4.835276398896899</v>
      </c>
      <c r="I43">
        <v>43</v>
      </c>
      <c r="K43">
        <f t="shared" si="16"/>
        <v>8.9090909109999998</v>
      </c>
      <c r="L43">
        <f t="shared" si="17"/>
        <v>2.835879053878708</v>
      </c>
      <c r="M43">
        <v>43</v>
      </c>
      <c r="O43">
        <f t="shared" si="18"/>
        <v>8.9090909109999998</v>
      </c>
      <c r="P43">
        <f t="shared" si="19"/>
        <v>7.4432955071476403</v>
      </c>
      <c r="Q43">
        <v>43</v>
      </c>
      <c r="S43">
        <f t="shared" si="20"/>
        <v>5.9761650154999995</v>
      </c>
      <c r="T43">
        <f t="shared" si="21"/>
        <v>3.6245079563556963</v>
      </c>
      <c r="U43">
        <v>43</v>
      </c>
      <c r="W43">
        <f t="shared" si="22"/>
        <v>5.8252697323000007</v>
      </c>
      <c r="X43">
        <f t="shared" si="23"/>
        <v>8.1640989449600578</v>
      </c>
    </row>
    <row r="44" spans="1:24" x14ac:dyDescent="0.25">
      <c r="A44">
        <v>44</v>
      </c>
      <c r="C44">
        <f t="shared" si="12"/>
        <v>11.7739130446</v>
      </c>
      <c r="D44">
        <f t="shared" si="13"/>
        <v>3.5608764827255657</v>
      </c>
      <c r="E44">
        <v>44</v>
      </c>
      <c r="G44">
        <f t="shared" si="14"/>
        <v>11.7739130446</v>
      </c>
      <c r="H44">
        <f t="shared" si="15"/>
        <v>4.7795330208185502</v>
      </c>
      <c r="I44">
        <v>44</v>
      </c>
      <c r="K44">
        <f t="shared" si="16"/>
        <v>9.0545454564999996</v>
      </c>
      <c r="L44">
        <f t="shared" si="17"/>
        <v>2.7876909927456563</v>
      </c>
      <c r="M44">
        <v>44</v>
      </c>
      <c r="O44">
        <f t="shared" si="18"/>
        <v>9.0545454564999996</v>
      </c>
      <c r="P44">
        <f t="shared" si="19"/>
        <v>7.393047373251374</v>
      </c>
      <c r="Q44">
        <v>44</v>
      </c>
      <c r="S44">
        <f t="shared" si="20"/>
        <v>6.0570788180999999</v>
      </c>
      <c r="T44">
        <f t="shared" si="21"/>
        <v>3.6978069809427518</v>
      </c>
      <c r="U44">
        <v>44</v>
      </c>
      <c r="W44">
        <f t="shared" si="22"/>
        <v>5.9117722492000002</v>
      </c>
      <c r="X44">
        <f t="shared" si="23"/>
        <v>8.2577353620450129</v>
      </c>
    </row>
    <row r="45" spans="1:24" x14ac:dyDescent="0.25">
      <c r="A45">
        <v>45</v>
      </c>
      <c r="C45">
        <f t="shared" si="12"/>
        <v>11.9826086968</v>
      </c>
      <c r="D45">
        <f t="shared" si="13"/>
        <v>3.474203811633545</v>
      </c>
      <c r="E45">
        <v>45</v>
      </c>
      <c r="G45">
        <f t="shared" si="14"/>
        <v>11.9826086968</v>
      </c>
      <c r="H45">
        <f t="shared" si="15"/>
        <v>4.7249711512428121</v>
      </c>
      <c r="I45">
        <v>45</v>
      </c>
      <c r="K45">
        <f t="shared" si="16"/>
        <v>9.2000000019999995</v>
      </c>
      <c r="L45">
        <f t="shared" si="17"/>
        <v>2.7393009119361982</v>
      </c>
      <c r="M45">
        <v>45</v>
      </c>
      <c r="O45">
        <f t="shared" si="18"/>
        <v>9.2000000019999995</v>
      </c>
      <c r="P45">
        <f t="shared" si="19"/>
        <v>7.3430012590315119</v>
      </c>
      <c r="Q45">
        <v>45</v>
      </c>
      <c r="S45">
        <f t="shared" si="20"/>
        <v>6.1379926207000004</v>
      </c>
      <c r="T45">
        <f t="shared" si="21"/>
        <v>3.7705983770649372</v>
      </c>
      <c r="U45">
        <v>45</v>
      </c>
      <c r="W45">
        <f t="shared" si="22"/>
        <v>5.9982747660999998</v>
      </c>
      <c r="X45">
        <f t="shared" si="23"/>
        <v>8.3519618772348849</v>
      </c>
    </row>
    <row r="46" spans="1:24" x14ac:dyDescent="0.25">
      <c r="A46">
        <v>46</v>
      </c>
      <c r="C46">
        <f t="shared" si="12"/>
        <v>12.191304348999999</v>
      </c>
      <c r="D46">
        <f t="shared" si="13"/>
        <v>3.3864381954947422</v>
      </c>
      <c r="E46">
        <v>46</v>
      </c>
      <c r="G46">
        <f t="shared" si="14"/>
        <v>12.191304348999999</v>
      </c>
      <c r="H46">
        <f t="shared" si="15"/>
        <v>4.6715022267138568</v>
      </c>
      <c r="I46">
        <v>46</v>
      </c>
      <c r="K46">
        <f t="shared" si="16"/>
        <v>9.345454547500001</v>
      </c>
      <c r="L46">
        <f t="shared" si="17"/>
        <v>2.6907085933807582</v>
      </c>
      <c r="M46">
        <v>46</v>
      </c>
      <c r="O46">
        <f t="shared" si="18"/>
        <v>9.345454547500001</v>
      </c>
      <c r="P46">
        <f t="shared" si="19"/>
        <v>7.2931573825576308</v>
      </c>
      <c r="Q46">
        <v>46</v>
      </c>
      <c r="S46">
        <f t="shared" si="20"/>
        <v>6.2189064233</v>
      </c>
      <c r="T46">
        <f t="shared" si="21"/>
        <v>3.8428873506908352</v>
      </c>
      <c r="U46">
        <v>46</v>
      </c>
      <c r="W46">
        <f t="shared" si="22"/>
        <v>6.0847772830000002</v>
      </c>
      <c r="X46">
        <f t="shared" si="23"/>
        <v>8.4467727014695448</v>
      </c>
    </row>
    <row r="47" spans="1:24" x14ac:dyDescent="0.25">
      <c r="A47">
        <v>47</v>
      </c>
      <c r="C47">
        <f t="shared" si="12"/>
        <v>12.400000001199999</v>
      </c>
      <c r="D47">
        <f t="shared" si="13"/>
        <v>3.2976647319047689</v>
      </c>
      <c r="E47">
        <v>47</v>
      </c>
      <c r="G47">
        <f t="shared" si="14"/>
        <v>12.400000001199999</v>
      </c>
      <c r="H47">
        <f t="shared" si="15"/>
        <v>4.6190411496360717</v>
      </c>
      <c r="I47">
        <v>47</v>
      </c>
      <c r="K47">
        <f t="shared" si="16"/>
        <v>9.4909090929999991</v>
      </c>
      <c r="L47">
        <f t="shared" si="17"/>
        <v>2.641913872063594</v>
      </c>
      <c r="M47">
        <v>47</v>
      </c>
      <c r="O47">
        <f t="shared" si="18"/>
        <v>9.4909090929999991</v>
      </c>
      <c r="P47">
        <f t="shared" si="19"/>
        <v>7.2435159088454775</v>
      </c>
      <c r="Q47">
        <v>47</v>
      </c>
      <c r="S47">
        <f t="shared" si="20"/>
        <v>6.2998202258999996</v>
      </c>
      <c r="T47">
        <f t="shared" si="21"/>
        <v>3.9146793521942991</v>
      </c>
      <c r="U47">
        <v>47</v>
      </c>
      <c r="W47">
        <f t="shared" si="22"/>
        <v>6.1712797999000006</v>
      </c>
      <c r="X47">
        <f t="shared" si="23"/>
        <v>8.5421616919552292</v>
      </c>
    </row>
    <row r="48" spans="1:24" x14ac:dyDescent="0.25">
      <c r="A48">
        <v>48</v>
      </c>
      <c r="C48">
        <f t="shared" si="12"/>
        <v>12.608695653399998</v>
      </c>
      <c r="D48">
        <f t="shared" si="13"/>
        <v>3.2079641726442478</v>
      </c>
      <c r="E48">
        <v>48</v>
      </c>
      <c r="G48">
        <f t="shared" si="14"/>
        <v>12.608695653399998</v>
      </c>
      <c r="H48">
        <f t="shared" si="15"/>
        <v>4.5675071682288344</v>
      </c>
      <c r="I48">
        <v>48</v>
      </c>
      <c r="K48">
        <f t="shared" si="16"/>
        <v>9.6363636385000007</v>
      </c>
      <c r="L48">
        <f t="shared" si="17"/>
        <v>2.5929166362400475</v>
      </c>
      <c r="M48">
        <v>48</v>
      </c>
      <c r="O48">
        <f t="shared" si="18"/>
        <v>9.6363636385000007</v>
      </c>
      <c r="P48">
        <f t="shared" si="19"/>
        <v>7.1940769496397046</v>
      </c>
      <c r="Q48">
        <v>48</v>
      </c>
      <c r="S48">
        <f t="shared" si="20"/>
        <v>6.3807340285</v>
      </c>
      <c r="T48">
        <f t="shared" si="21"/>
        <v>3.9859800605831168</v>
      </c>
      <c r="U48">
        <v>48</v>
      </c>
      <c r="W48">
        <f t="shared" si="22"/>
        <v>6.2577823168000002</v>
      </c>
      <c r="X48">
        <f t="shared" si="23"/>
        <v>8.6381223733329424</v>
      </c>
    </row>
    <row r="49" spans="1:24" x14ac:dyDescent="0.25">
      <c r="A49">
        <v>49</v>
      </c>
      <c r="C49">
        <f t="shared" si="12"/>
        <v>12.817391305600001</v>
      </c>
      <c r="D49">
        <f t="shared" si="13"/>
        <v>3.117412368462726</v>
      </c>
      <c r="E49">
        <v>49</v>
      </c>
      <c r="G49">
        <f t="shared" si="14"/>
        <v>12.817391305600001</v>
      </c>
      <c r="H49">
        <f t="shared" si="15"/>
        <v>4.5168244317425961</v>
      </c>
      <c r="I49">
        <v>49</v>
      </c>
      <c r="K49">
        <f t="shared" si="16"/>
        <v>9.7818181839999987</v>
      </c>
      <c r="L49">
        <f t="shared" si="17"/>
        <v>2.5437168275838928</v>
      </c>
      <c r="M49">
        <v>49</v>
      </c>
      <c r="O49">
        <f t="shared" si="18"/>
        <v>9.7818181839999987</v>
      </c>
      <c r="P49">
        <f t="shared" si="19"/>
        <v>7.1448405632665413</v>
      </c>
      <c r="Q49">
        <v>49</v>
      </c>
      <c r="S49">
        <f t="shared" si="20"/>
        <v>6.4616478311000005</v>
      </c>
      <c r="T49">
        <f t="shared" si="21"/>
        <v>4.056795367496731</v>
      </c>
      <c r="U49">
        <v>49</v>
      </c>
      <c r="W49">
        <f t="shared" si="22"/>
        <v>6.3442848337000006</v>
      </c>
      <c r="X49">
        <f t="shared" si="23"/>
        <v>8.7346479594302195</v>
      </c>
    </row>
    <row r="50" spans="1:24" x14ac:dyDescent="0.25">
      <c r="A50">
        <v>50</v>
      </c>
      <c r="C50">
        <f t="shared" si="12"/>
        <v>13.0260869578</v>
      </c>
      <c r="D50">
        <f t="shared" si="13"/>
        <v>3.026079979439555</v>
      </c>
      <c r="E50">
        <v>50</v>
      </c>
      <c r="G50">
        <f t="shared" si="14"/>
        <v>13.0260869578</v>
      </c>
      <c r="H50">
        <f t="shared" si="15"/>
        <v>4.4669222800980091</v>
      </c>
      <c r="I50">
        <v>50</v>
      </c>
      <c r="K50">
        <f t="shared" si="16"/>
        <v>9.9272727295000003</v>
      </c>
      <c r="L50">
        <f t="shared" si="17"/>
        <v>2.4943144412643155</v>
      </c>
      <c r="M50">
        <v>50</v>
      </c>
      <c r="O50">
        <f t="shared" si="18"/>
        <v>9.9272727295000003</v>
      </c>
      <c r="P50">
        <f t="shared" si="19"/>
        <v>7.0958067545568007</v>
      </c>
      <c r="Q50">
        <v>50</v>
      </c>
      <c r="S50">
        <f t="shared" si="20"/>
        <v>6.5425616337000001</v>
      </c>
      <c r="T50">
        <f t="shared" si="21"/>
        <v>4.1271313610660005</v>
      </c>
      <c r="U50">
        <v>50</v>
      </c>
      <c r="W50">
        <f t="shared" si="22"/>
        <v>6.4307873506000002</v>
      </c>
      <c r="X50">
        <f t="shared" si="23"/>
        <v>8.8317313754414499</v>
      </c>
    </row>
    <row r="51" spans="1:24" x14ac:dyDescent="0.25">
      <c r="A51">
        <v>51</v>
      </c>
      <c r="C51">
        <f t="shared" si="12"/>
        <v>13.23478261</v>
      </c>
      <c r="D51">
        <f t="shared" si="13"/>
        <v>2.9340323927679424</v>
      </c>
      <c r="E51">
        <v>51</v>
      </c>
      <c r="G51">
        <f t="shared" si="14"/>
        <v>13.23478261</v>
      </c>
      <c r="H51">
        <f t="shared" si="15"/>
        <v>4.4177353261018624</v>
      </c>
      <c r="I51">
        <v>51</v>
      </c>
      <c r="K51">
        <f t="shared" si="16"/>
        <v>10.072727275</v>
      </c>
      <c r="L51">
        <f t="shared" si="17"/>
        <v>2.4447095259522897</v>
      </c>
      <c r="M51">
        <v>51</v>
      </c>
      <c r="O51">
        <f t="shared" si="18"/>
        <v>10.072727275</v>
      </c>
      <c r="P51">
        <f t="shared" si="19"/>
        <v>7.0469754748395061</v>
      </c>
      <c r="Q51">
        <v>51</v>
      </c>
      <c r="S51">
        <f t="shared" si="20"/>
        <v>6.6234754362999997</v>
      </c>
      <c r="T51">
        <f t="shared" si="21"/>
        <v>4.1969943097243583</v>
      </c>
      <c r="U51">
        <v>51</v>
      </c>
      <c r="W51">
        <f t="shared" si="22"/>
        <v>6.5172898675000006</v>
      </c>
      <c r="X51">
        <f t="shared" si="23"/>
        <v>8.9293652803858805</v>
      </c>
    </row>
    <row r="52" spans="1:24" x14ac:dyDescent="0.25">
      <c r="A52">
        <v>52</v>
      </c>
      <c r="C52">
        <f t="shared" si="12"/>
        <v>13.443478262199999</v>
      </c>
      <c r="D52">
        <f t="shared" si="13"/>
        <v>2.8413297952652989</v>
      </c>
      <c r="E52">
        <v>52</v>
      </c>
      <c r="G52">
        <f t="shared" si="14"/>
        <v>13.443478262199999</v>
      </c>
      <c r="H52">
        <f t="shared" si="15"/>
        <v>4.3692033829367478</v>
      </c>
      <c r="I52">
        <v>52</v>
      </c>
      <c r="K52">
        <f t="shared" si="16"/>
        <v>10.2181818205</v>
      </c>
      <c r="L52">
        <f t="shared" si="17"/>
        <v>2.3949021837563378</v>
      </c>
      <c r="M52">
        <v>52</v>
      </c>
      <c r="O52">
        <f t="shared" si="18"/>
        <v>10.2181818205</v>
      </c>
      <c r="P52">
        <f t="shared" si="19"/>
        <v>6.9983466220061388</v>
      </c>
      <c r="Q52">
        <v>52</v>
      </c>
      <c r="S52">
        <f t="shared" si="20"/>
        <v>6.7043892389000002</v>
      </c>
      <c r="T52">
        <f t="shared" si="21"/>
        <v>4.2663906460554895</v>
      </c>
      <c r="U52">
        <v>52</v>
      </c>
      <c r="W52">
        <f t="shared" si="22"/>
        <v>6.6037923844000002</v>
      </c>
      <c r="X52">
        <f t="shared" si="23"/>
        <v>9.0275420896977518</v>
      </c>
    </row>
    <row r="53" spans="1:24" x14ac:dyDescent="0.25">
      <c r="A53">
        <v>53</v>
      </c>
      <c r="C53">
        <f t="shared" si="12"/>
        <v>13.652173914399999</v>
      </c>
      <c r="D53">
        <f t="shared" si="13"/>
        <v>2.7480273555713879</v>
      </c>
      <c r="E53">
        <v>53</v>
      </c>
      <c r="G53">
        <f t="shared" si="14"/>
        <v>13.652173914399999</v>
      </c>
      <c r="H53">
        <f t="shared" si="15"/>
        <v>4.3212712819629004</v>
      </c>
      <c r="I53">
        <v>53</v>
      </c>
      <c r="K53">
        <f t="shared" si="16"/>
        <v>10.363636366</v>
      </c>
      <c r="L53">
        <f t="shared" si="17"/>
        <v>2.344892570087858</v>
      </c>
      <c r="M53">
        <v>53</v>
      </c>
      <c r="O53">
        <f t="shared" si="18"/>
        <v>10.363636366</v>
      </c>
      <c r="P53">
        <f t="shared" si="19"/>
        <v>6.9499200406452992</v>
      </c>
      <c r="Q53">
        <v>53</v>
      </c>
      <c r="S53">
        <f t="shared" si="20"/>
        <v>6.7853030414999997</v>
      </c>
      <c r="T53">
        <f t="shared" si="21"/>
        <v>4.3353269507577181</v>
      </c>
      <c r="U53">
        <v>53</v>
      </c>
      <c r="W53">
        <f t="shared" si="22"/>
        <v>6.6902949013000006</v>
      </c>
      <c r="X53">
        <f t="shared" si="23"/>
        <v>9.1262539978098136</v>
      </c>
    </row>
    <row r="54" spans="1:24" x14ac:dyDescent="0.25">
      <c r="A54">
        <v>54</v>
      </c>
      <c r="C54">
        <f t="shared" si="12"/>
        <v>13.860869566599998</v>
      </c>
      <c r="D54">
        <f t="shared" si="13"/>
        <v>2.6541754792719487</v>
      </c>
      <c r="E54">
        <v>54</v>
      </c>
      <c r="G54">
        <f t="shared" si="14"/>
        <v>13.860869566599998</v>
      </c>
      <c r="H54">
        <f t="shared" si="15"/>
        <v>4.2738886175945812</v>
      </c>
      <c r="I54">
        <v>54</v>
      </c>
      <c r="K54">
        <f t="shared" si="16"/>
        <v>10.5090909115</v>
      </c>
      <c r="L54">
        <f t="shared" si="17"/>
        <v>2.2946808934564529</v>
      </c>
      <c r="M54">
        <v>54</v>
      </c>
      <c r="O54">
        <f t="shared" si="18"/>
        <v>10.5090909115</v>
      </c>
      <c r="P54">
        <f t="shared" si="19"/>
        <v>6.901695522247385</v>
      </c>
      <c r="Q54">
        <v>54</v>
      </c>
      <c r="S54">
        <f t="shared" si="20"/>
        <v>6.8662168441000002</v>
      </c>
      <c r="T54">
        <f t="shared" si="21"/>
        <v>4.4038099367999832</v>
      </c>
      <c r="U54">
        <v>54</v>
      </c>
      <c r="W54">
        <f t="shared" si="22"/>
        <v>6.7767974182000001</v>
      </c>
      <c r="X54">
        <f t="shared" si="23"/>
        <v>9.2254930005994318</v>
      </c>
    </row>
    <row r="55" spans="1:24" x14ac:dyDescent="0.25">
      <c r="A55">
        <v>55</v>
      </c>
      <c r="C55">
        <f t="shared" si="12"/>
        <v>14.069565218800001</v>
      </c>
      <c r="D55">
        <f t="shared" si="13"/>
        <v>2.5598201080880028</v>
      </c>
      <c r="E55">
        <v>55</v>
      </c>
      <c r="G55">
        <f t="shared" si="14"/>
        <v>14.069565218800001</v>
      </c>
      <c r="H55">
        <f t="shared" si="15"/>
        <v>4.2270094481107652</v>
      </c>
      <c r="I55">
        <v>55</v>
      </c>
      <c r="K55">
        <f t="shared" si="16"/>
        <v>10.654545457000001</v>
      </c>
      <c r="L55">
        <f t="shared" si="17"/>
        <v>2.2442674151958673</v>
      </c>
      <c r="M55">
        <v>55</v>
      </c>
      <c r="O55">
        <f t="shared" si="18"/>
        <v>10.654545457000001</v>
      </c>
      <c r="P55">
        <f t="shared" si="19"/>
        <v>6.8536728054786522</v>
      </c>
      <c r="Q55">
        <v>55</v>
      </c>
      <c r="S55">
        <f t="shared" si="20"/>
        <v>6.9471306466999998</v>
      </c>
      <c r="T55">
        <f t="shared" si="21"/>
        <v>4.4718464338384081</v>
      </c>
      <c r="U55">
        <v>55</v>
      </c>
      <c r="W55">
        <f t="shared" si="22"/>
        <v>6.8632999351000006</v>
      </c>
      <c r="X55">
        <f t="shared" si="23"/>
        <v>9.3252509175754223</v>
      </c>
    </row>
    <row r="56" spans="1:24" x14ac:dyDescent="0.25">
      <c r="A56">
        <v>56</v>
      </c>
      <c r="C56">
        <f t="shared" si="12"/>
        <v>14.278260871000001</v>
      </c>
      <c r="D56">
        <f t="shared" si="13"/>
        <v>2.4650030412673338</v>
      </c>
      <c r="E56">
        <v>56</v>
      </c>
      <c r="G56">
        <f t="shared" si="14"/>
        <v>14.278260871000001</v>
      </c>
      <c r="H56">
        <f t="shared" si="15"/>
        <v>4.1805919742636757</v>
      </c>
      <c r="I56">
        <v>56</v>
      </c>
      <c r="K56">
        <f t="shared" si="16"/>
        <v>10.800000002499999</v>
      </c>
      <c r="L56">
        <f t="shared" si="17"/>
        <v>2.1936524491213878</v>
      </c>
      <c r="M56">
        <v>56</v>
      </c>
      <c r="O56">
        <f t="shared" si="18"/>
        <v>10.800000002499999</v>
      </c>
      <c r="P56">
        <f t="shared" si="19"/>
        <v>6.8058515765238141</v>
      </c>
      <c r="Q56">
        <v>56</v>
      </c>
      <c r="S56">
        <f t="shared" si="20"/>
        <v>7.0280444493000003</v>
      </c>
      <c r="T56">
        <f t="shared" si="21"/>
        <v>4.5394433729565424</v>
      </c>
      <c r="U56">
        <v>56</v>
      </c>
      <c r="W56">
        <f t="shared" si="22"/>
        <v>6.9498024520000001</v>
      </c>
      <c r="X56">
        <f t="shared" si="23"/>
        <v>9.4255194136934239</v>
      </c>
    </row>
    <row r="57" spans="1:24" x14ac:dyDescent="0.25">
      <c r="A57">
        <v>57</v>
      </c>
      <c r="C57">
        <f t="shared" si="12"/>
        <v>14.4869565232</v>
      </c>
      <c r="D57">
        <f t="shared" si="13"/>
        <v>2.3697622631902617</v>
      </c>
      <c r="E57">
        <v>57</v>
      </c>
      <c r="G57">
        <f t="shared" si="14"/>
        <v>14.4869565232</v>
      </c>
      <c r="H57">
        <f t="shared" si="15"/>
        <v>4.1345982116729889</v>
      </c>
      <c r="I57">
        <v>57</v>
      </c>
      <c r="K57">
        <f t="shared" si="16"/>
        <v>10.945454548000001</v>
      </c>
      <c r="L57">
        <f t="shared" si="17"/>
        <v>2.1428363611197434</v>
      </c>
      <c r="M57">
        <v>57</v>
      </c>
      <c r="O57">
        <f t="shared" si="18"/>
        <v>10.945454548000001</v>
      </c>
      <c r="P57">
        <f t="shared" si="19"/>
        <v>6.7582314694961383</v>
      </c>
      <c r="Q57">
        <v>57</v>
      </c>
      <c r="S57">
        <f t="shared" si="20"/>
        <v>7.1089582518999999</v>
      </c>
      <c r="T57">
        <f t="shared" si="21"/>
        <v>4.6066077717859955</v>
      </c>
      <c r="U57">
        <v>57</v>
      </c>
      <c r="W57">
        <f t="shared" si="22"/>
        <v>7.0363049689000006</v>
      </c>
      <c r="X57">
        <f t="shared" si="23"/>
        <v>9.5262900206978927</v>
      </c>
    </row>
    <row r="58" spans="1:24" x14ac:dyDescent="0.25">
      <c r="A58">
        <v>58</v>
      </c>
      <c r="C58">
        <f t="shared" si="12"/>
        <v>14.695652175399999</v>
      </c>
      <c r="D58">
        <f t="shared" si="13"/>
        <v>2.274132265942316</v>
      </c>
      <c r="E58">
        <v>58</v>
      </c>
      <c r="G58">
        <f t="shared" si="14"/>
        <v>14.695652175399999</v>
      </c>
      <c r="H58">
        <f t="shared" si="15"/>
        <v>4.0889936682531767</v>
      </c>
      <c r="I58">
        <v>58</v>
      </c>
      <c r="K58">
        <f t="shared" si="16"/>
        <v>11.090909093499999</v>
      </c>
      <c r="L58">
        <f t="shared" si="17"/>
        <v>2.0918195686727539</v>
      </c>
      <c r="M58">
        <v>58</v>
      </c>
      <c r="O58">
        <f t="shared" si="18"/>
        <v>11.090909093499999</v>
      </c>
      <c r="P58">
        <f t="shared" si="19"/>
        <v>6.7108120669138103</v>
      </c>
      <c r="Q58">
        <v>58</v>
      </c>
      <c r="S58">
        <f t="shared" si="20"/>
        <v>7.1898720545000003</v>
      </c>
      <c r="T58">
        <f t="shared" si="21"/>
        <v>4.6733467200579337</v>
      </c>
      <c r="U58">
        <v>58</v>
      </c>
      <c r="W58">
        <f t="shared" si="22"/>
        <v>7.1228074858000001</v>
      </c>
      <c r="X58">
        <f t="shared" si="23"/>
        <v>9.6275541578994002</v>
      </c>
    </row>
    <row r="59" spans="1:24" x14ac:dyDescent="0.25">
      <c r="A59">
        <v>59</v>
      </c>
      <c r="C59">
        <f t="shared" si="12"/>
        <v>14.904347827599999</v>
      </c>
      <c r="D59">
        <f t="shared" si="13"/>
        <v>2.1781443593074439</v>
      </c>
      <c r="E59">
        <v>59</v>
      </c>
      <c r="G59">
        <f t="shared" si="14"/>
        <v>14.904347827599999</v>
      </c>
      <c r="H59">
        <f t="shared" si="15"/>
        <v>4.0437470342202904</v>
      </c>
      <c r="I59">
        <v>59</v>
      </c>
      <c r="K59">
        <f t="shared" si="16"/>
        <v>11.236363639</v>
      </c>
      <c r="L59">
        <f t="shared" si="17"/>
        <v>2.0406025403161516</v>
      </c>
      <c r="M59">
        <v>59</v>
      </c>
      <c r="O59">
        <f t="shared" si="18"/>
        <v>11.236363639</v>
      </c>
      <c r="P59">
        <f t="shared" si="19"/>
        <v>6.663592900241091</v>
      </c>
      <c r="Q59">
        <v>59</v>
      </c>
      <c r="S59">
        <f t="shared" si="20"/>
        <v>7.2707858570999999</v>
      </c>
      <c r="T59">
        <f t="shared" si="21"/>
        <v>4.7396673656295363</v>
      </c>
      <c r="U59">
        <v>59</v>
      </c>
      <c r="W59">
        <f t="shared" si="22"/>
        <v>7.2093100027000006</v>
      </c>
      <c r="X59">
        <f t="shared" si="23"/>
        <v>9.7293031523067004</v>
      </c>
    </row>
    <row r="60" spans="1:24" x14ac:dyDescent="0.25">
      <c r="A60">
        <v>60</v>
      </c>
      <c r="C60">
        <f t="shared" si="12"/>
        <v>15.113043479799998</v>
      </c>
      <c r="D60">
        <f t="shared" si="13"/>
        <v>2.0818269634434143</v>
      </c>
      <c r="E60">
        <v>60</v>
      </c>
      <c r="G60">
        <f t="shared" si="14"/>
        <v>15.113043479799998</v>
      </c>
      <c r="H60">
        <f t="shared" si="15"/>
        <v>3.9988298894165615</v>
      </c>
      <c r="I60">
        <v>60</v>
      </c>
      <c r="K60">
        <f t="shared" si="16"/>
        <v>11.381818184499998</v>
      </c>
      <c r="L60">
        <f t="shared" si="17"/>
        <v>1.9891857950352354</v>
      </c>
      <c r="M60">
        <v>60</v>
      </c>
      <c r="O60">
        <f t="shared" si="18"/>
        <v>11.381818184499998</v>
      </c>
      <c r="P60">
        <f t="shared" si="19"/>
        <v>6.616573450492691</v>
      </c>
      <c r="Q60">
        <v>60</v>
      </c>
      <c r="S60">
        <f t="shared" si="20"/>
        <v>7.3516996597000004</v>
      </c>
      <c r="T60">
        <f t="shared" si="21"/>
        <v>4.805576901023259</v>
      </c>
      <c r="U60">
        <v>60</v>
      </c>
      <c r="W60">
        <f t="shared" si="22"/>
        <v>7.2958125196000001</v>
      </c>
      <c r="X60">
        <f t="shared" si="23"/>
        <v>9.8315282580438783</v>
      </c>
    </row>
    <row r="61" spans="1:24" x14ac:dyDescent="0.25">
      <c r="A61">
        <v>61</v>
      </c>
      <c r="C61">
        <f t="shared" si="12"/>
        <v>15.321739132000001</v>
      </c>
      <c r="D61">
        <f t="shared" si="13"/>
        <v>1.9852058815748563</v>
      </c>
      <c r="E61">
        <v>61</v>
      </c>
      <c r="G61">
        <f t="shared" si="14"/>
        <v>15.321739132000001</v>
      </c>
      <c r="H61">
        <f t="shared" si="15"/>
        <v>3.9542164306173593</v>
      </c>
      <c r="I61">
        <v>61</v>
      </c>
      <c r="K61">
        <f t="shared" si="16"/>
        <v>11.52727273</v>
      </c>
      <c r="L61">
        <f t="shared" si="17"/>
        <v>1.937569901599101</v>
      </c>
      <c r="M61">
        <v>61</v>
      </c>
      <c r="O61">
        <f t="shared" si="18"/>
        <v>11.52727273</v>
      </c>
      <c r="P61">
        <f t="shared" si="19"/>
        <v>6.5697531488995047</v>
      </c>
      <c r="Q61">
        <v>61</v>
      </c>
      <c r="S61">
        <f t="shared" si="20"/>
        <v>7.4326134623</v>
      </c>
      <c r="T61">
        <f t="shared" si="21"/>
        <v>4.8710825505106081</v>
      </c>
      <c r="U61">
        <v>61</v>
      </c>
      <c r="W61">
        <f t="shared" si="22"/>
        <v>7.3823150365000005</v>
      </c>
      <c r="X61">
        <f t="shared" si="23"/>
        <v>9.9342206749934974</v>
      </c>
    </row>
    <row r="62" spans="1:24" x14ac:dyDescent="0.25">
      <c r="A62">
        <v>62</v>
      </c>
      <c r="C62">
        <f t="shared" si="12"/>
        <v>15.530434784200001</v>
      </c>
      <c r="D62">
        <f t="shared" si="13"/>
        <v>1.8883045515294321</v>
      </c>
      <c r="E62">
        <v>62</v>
      </c>
      <c r="G62">
        <f t="shared" si="14"/>
        <v>15.530434784200001</v>
      </c>
      <c r="H62">
        <f t="shared" si="15"/>
        <v>3.9098832199950251</v>
      </c>
      <c r="I62">
        <v>62</v>
      </c>
      <c r="K62">
        <f t="shared" si="16"/>
        <v>11.672727275500002</v>
      </c>
      <c r="L62">
        <f t="shared" si="17"/>
        <v>1.8857554778354793</v>
      </c>
      <c r="M62">
        <v>62</v>
      </c>
      <c r="O62">
        <f t="shared" si="18"/>
        <v>11.672727275500002</v>
      </c>
      <c r="P62">
        <f t="shared" si="19"/>
        <v>6.5231313776338062</v>
      </c>
      <c r="Q62">
        <v>62</v>
      </c>
      <c r="S62">
        <f t="shared" si="20"/>
        <v>7.5135272649000004</v>
      </c>
      <c r="T62">
        <f t="shared" si="21"/>
        <v>4.9361915577662714</v>
      </c>
      <c r="U62">
        <v>62</v>
      </c>
      <c r="W62">
        <f t="shared" si="22"/>
        <v>7.4688175534000001</v>
      </c>
      <c r="X62">
        <f t="shared" si="23"/>
        <v>10.037371566617054</v>
      </c>
    </row>
    <row r="63" spans="1:24" x14ac:dyDescent="0.25">
      <c r="A63">
        <v>63</v>
      </c>
      <c r="C63">
        <f t="shared" si="12"/>
        <v>15.7391304364</v>
      </c>
      <c r="D63">
        <f t="shared" si="13"/>
        <v>1.7911442759810303</v>
      </c>
      <c r="E63">
        <v>63</v>
      </c>
      <c r="G63">
        <f t="shared" si="14"/>
        <v>15.7391304364</v>
      </c>
      <c r="H63">
        <f t="shared" si="15"/>
        <v>3.8658089548756687</v>
      </c>
      <c r="I63">
        <v>63</v>
      </c>
      <c r="K63">
        <f t="shared" si="16"/>
        <v>11.818181821</v>
      </c>
      <c r="L63">
        <f t="shared" si="17"/>
        <v>1.8337431898482603</v>
      </c>
      <c r="M63">
        <v>63</v>
      </c>
      <c r="O63">
        <f t="shared" si="18"/>
        <v>11.818181821</v>
      </c>
      <c r="P63">
        <f t="shared" si="19"/>
        <v>6.4767074705917089</v>
      </c>
      <c r="Q63">
        <v>63</v>
      </c>
      <c r="S63">
        <f t="shared" si="20"/>
        <v>7.5944410675</v>
      </c>
      <c r="T63">
        <f t="shared" si="21"/>
        <v>5.0009111741127201</v>
      </c>
      <c r="U63">
        <v>63</v>
      </c>
      <c r="W63">
        <f t="shared" si="22"/>
        <v>7.5553200703000005</v>
      </c>
      <c r="X63">
        <f t="shared" si="23"/>
        <v>10.140972076914114</v>
      </c>
    </row>
    <row r="64" spans="1:24" x14ac:dyDescent="0.25">
      <c r="A64">
        <v>64</v>
      </c>
      <c r="C64">
        <f t="shared" si="12"/>
        <v>15.947826088599999</v>
      </c>
      <c r="D64">
        <f t="shared" si="13"/>
        <v>1.6937444319607575</v>
      </c>
      <c r="E64">
        <v>64</v>
      </c>
      <c r="G64">
        <f t="shared" si="14"/>
        <v>15.947826088599999</v>
      </c>
      <c r="H64">
        <f t="shared" si="15"/>
        <v>3.8219742582281828</v>
      </c>
      <c r="I64">
        <v>64</v>
      </c>
      <c r="K64">
        <f t="shared" si="16"/>
        <v>11.963636366500001</v>
      </c>
      <c r="L64">
        <f t="shared" si="17"/>
        <v>1.7815337511799889</v>
      </c>
      <c r="M64">
        <v>64</v>
      </c>
      <c r="O64">
        <f t="shared" si="18"/>
        <v>11.963636366500001</v>
      </c>
      <c r="P64">
        <f t="shared" si="19"/>
        <v>6.4304807142306597</v>
      </c>
      <c r="Q64">
        <v>64</v>
      </c>
      <c r="S64">
        <f t="shared" si="20"/>
        <v>7.6753548701000005</v>
      </c>
      <c r="T64">
        <f t="shared" si="21"/>
        <v>5.0652486473701019</v>
      </c>
      <c r="U64">
        <v>64</v>
      </c>
      <c r="W64">
        <f t="shared" si="22"/>
        <v>7.6418225872000001</v>
      </c>
      <c r="X64">
        <f t="shared" si="23"/>
        <v>10.245013346490866</v>
      </c>
    </row>
    <row r="65" spans="1:24" x14ac:dyDescent="0.25">
      <c r="A65">
        <v>65</v>
      </c>
      <c r="C65">
        <f t="shared" ref="C65:C70" si="24">2.8+(A65-1)*0.2086956522</f>
        <v>16.156521740799999</v>
      </c>
      <c r="D65">
        <f t="shared" ref="D65:D70" si="25">8.15419575298999+-0.338374420307542*C65-2.23918594285311*(0.0555555555555556+(C65-9.72222222222222)^2/227.611111111111)^0.5</f>
        <v>1.5961226606405128</v>
      </c>
      <c r="E65">
        <v>65</v>
      </c>
      <c r="G65">
        <f t="shared" ref="G65:G70" si="26">2.8+(E65-1)*0.2086956522</f>
        <v>16.156521740799999</v>
      </c>
      <c r="H65">
        <f t="shared" ref="H65:H70" si="27">8.15419575298999+-0.338374420307542*G65+2.23918594285311*(0.0555555555555556+(G65-9.72222222222222)^2/227.611111111111)^0.5</f>
        <v>3.7783614888806691</v>
      </c>
      <c r="I65">
        <v>65</v>
      </c>
      <c r="K65">
        <f t="shared" ref="K65:K100" si="28">2.8+(I65-1)*0.1454545455</f>
        <v>12.109090911999999</v>
      </c>
      <c r="L65">
        <f t="shared" ref="L65:L96" si="29">8.15419575298999+-0.338374420307542*K65-2.23918594285311*(1.05555555555556+(K65-9.72222222222222)^2/227.611111111111)^0.5</f>
        <v>1.7291279219217564</v>
      </c>
      <c r="M65">
        <v>65</v>
      </c>
      <c r="O65">
        <f t="shared" ref="O65:O100" si="30">2.8+(M65-1)*0.1454545455</f>
        <v>12.109090911999999</v>
      </c>
      <c r="P65">
        <f t="shared" ref="P65:P96" si="31">8.15419575298999+-0.338374420307542*O65+2.23918594285311*(1.05555555555556+(O65-9.72222222222222)^2/227.611111111111)^0.5</f>
        <v>6.3844503484595734</v>
      </c>
      <c r="Q65">
        <v>65</v>
      </c>
      <c r="S65">
        <f t="shared" ref="S65:S70" si="32">2.5777853063+(Q65-1)*0.0809138026</f>
        <v>7.7562686727000001</v>
      </c>
      <c r="T65">
        <f t="shared" ref="T65:T70" si="33">0+1*S65-2.23918594285311*(1.05555555555556+(S65-4.86444444444444)^2/26.0608459089306)^0.5</f>
        <v>5.1292112113211603</v>
      </c>
      <c r="U65">
        <v>65</v>
      </c>
      <c r="W65">
        <f t="shared" ref="W65:W70" si="34">2.1921640225+(U65-1)*0.0865025169</f>
        <v>7.7283251041000005</v>
      </c>
      <c r="X65">
        <f t="shared" ref="X65:X70" si="35">0+1*W65+2.23918594285311*(1.05555555555556+(W65-4.86444444444444)^2/26.0608459089306)^0.5</f>
        <v>10.349486527717925</v>
      </c>
    </row>
    <row r="66" spans="1:24" x14ac:dyDescent="0.25">
      <c r="A66">
        <v>66</v>
      </c>
      <c r="C66">
        <f t="shared" si="24"/>
        <v>16.365217392999998</v>
      </c>
      <c r="D66">
        <f t="shared" si="25"/>
        <v>1.4982950386546614</v>
      </c>
      <c r="E66">
        <v>66</v>
      </c>
      <c r="G66">
        <f t="shared" si="26"/>
        <v>16.365217392999998</v>
      </c>
      <c r="H66">
        <f t="shared" si="27"/>
        <v>3.7349545701987621</v>
      </c>
      <c r="I66">
        <v>66</v>
      </c>
      <c r="K66">
        <f t="shared" si="28"/>
        <v>12.254545457500001</v>
      </c>
      <c r="L66">
        <f t="shared" si="29"/>
        <v>1.6765265077729832</v>
      </c>
      <c r="M66">
        <v>66</v>
      </c>
      <c r="O66">
        <f t="shared" si="30"/>
        <v>12.254545457500001</v>
      </c>
      <c r="P66">
        <f t="shared" si="31"/>
        <v>6.3386155675790263</v>
      </c>
      <c r="Q66">
        <v>66</v>
      </c>
      <c r="S66">
        <f t="shared" si="32"/>
        <v>7.8371824752999997</v>
      </c>
      <c r="T66">
        <f t="shared" si="33"/>
        <v>5.1928060757963053</v>
      </c>
      <c r="U66">
        <v>66</v>
      </c>
      <c r="W66">
        <f t="shared" si="34"/>
        <v>7.8148276210000009</v>
      </c>
      <c r="X66">
        <f t="shared" si="35"/>
        <v>10.454382798965362</v>
      </c>
    </row>
    <row r="67" spans="1:24" x14ac:dyDescent="0.25">
      <c r="A67">
        <v>67</v>
      </c>
      <c r="C67">
        <f t="shared" si="24"/>
        <v>16.573913045200001</v>
      </c>
      <c r="D67">
        <f t="shared" si="25"/>
        <v>1.4002762323559674</v>
      </c>
      <c r="E67">
        <v>67</v>
      </c>
      <c r="G67">
        <f t="shared" si="26"/>
        <v>16.573913045200001</v>
      </c>
      <c r="H67">
        <f t="shared" si="27"/>
        <v>3.6917388358296961</v>
      </c>
      <c r="I67">
        <v>67</v>
      </c>
      <c r="K67">
        <f t="shared" si="28"/>
        <v>12.400000002999999</v>
      </c>
      <c r="L67">
        <f t="shared" si="29"/>
        <v>1.6237303590537602</v>
      </c>
      <c r="M67">
        <v>67</v>
      </c>
      <c r="O67">
        <f t="shared" si="30"/>
        <v>12.400000002999999</v>
      </c>
      <c r="P67">
        <f t="shared" si="31"/>
        <v>6.2929755212689331</v>
      </c>
      <c r="Q67">
        <v>67</v>
      </c>
      <c r="S67">
        <f t="shared" si="32"/>
        <v>7.9180962779000001</v>
      </c>
      <c r="T67">
        <f t="shared" si="33"/>
        <v>5.2560404173796025</v>
      </c>
      <c r="U67">
        <v>67</v>
      </c>
      <c r="W67">
        <f t="shared" si="34"/>
        <v>7.9013301379000005</v>
      </c>
      <c r="X67">
        <f t="shared" si="35"/>
        <v>10.559693377910737</v>
      </c>
    </row>
    <row r="68" spans="1:24" x14ac:dyDescent="0.25">
      <c r="A68">
        <v>68</v>
      </c>
      <c r="C68">
        <f t="shared" si="24"/>
        <v>16.782608697400001</v>
      </c>
      <c r="D68">
        <f t="shared" si="25"/>
        <v>1.302079636442647</v>
      </c>
      <c r="E68">
        <v>68</v>
      </c>
      <c r="G68">
        <f t="shared" si="26"/>
        <v>16.782608697400001</v>
      </c>
      <c r="H68">
        <f t="shared" si="27"/>
        <v>3.6487008910752579</v>
      </c>
      <c r="I68">
        <v>68</v>
      </c>
      <c r="K68">
        <f t="shared" si="28"/>
        <v>12.5454545485</v>
      </c>
      <c r="L68">
        <f t="shared" si="29"/>
        <v>1.5707403696724538</v>
      </c>
      <c r="M68">
        <v>68</v>
      </c>
      <c r="O68">
        <f t="shared" si="30"/>
        <v>12.5454545485</v>
      </c>
      <c r="P68">
        <f t="shared" si="31"/>
        <v>6.2475293156209197</v>
      </c>
      <c r="Q68">
        <v>68</v>
      </c>
      <c r="S68">
        <f t="shared" si="32"/>
        <v>7.9990100804999997</v>
      </c>
      <c r="T68">
        <f t="shared" si="33"/>
        <v>5.3189213707325669</v>
      </c>
      <c r="U68">
        <v>68</v>
      </c>
      <c r="W68">
        <f t="shared" si="34"/>
        <v>7.9878326548000009</v>
      </c>
      <c r="X68">
        <f t="shared" si="35"/>
        <v>10.66540953392273</v>
      </c>
    </row>
    <row r="69" spans="1:24" x14ac:dyDescent="0.25">
      <c r="A69">
        <v>69</v>
      </c>
      <c r="C69">
        <f t="shared" si="24"/>
        <v>16.9913043496</v>
      </c>
      <c r="D69">
        <f t="shared" si="25"/>
        <v>1.2037174983737551</v>
      </c>
      <c r="E69">
        <v>69</v>
      </c>
      <c r="G69">
        <f t="shared" si="26"/>
        <v>16.9913043496</v>
      </c>
      <c r="H69">
        <f t="shared" si="27"/>
        <v>3.6058284884763916</v>
      </c>
      <c r="I69">
        <v>69</v>
      </c>
      <c r="K69">
        <f t="shared" si="28"/>
        <v>12.690909093999998</v>
      </c>
      <c r="L69">
        <f t="shared" si="29"/>
        <v>1.5175574760514352</v>
      </c>
      <c r="M69">
        <v>69</v>
      </c>
      <c r="O69">
        <f t="shared" si="30"/>
        <v>12.690909093999998</v>
      </c>
      <c r="P69">
        <f t="shared" si="31"/>
        <v>6.2022760142126199</v>
      </c>
      <c r="Q69">
        <v>69</v>
      </c>
      <c r="S69">
        <f t="shared" si="32"/>
        <v>8.0799238831000011</v>
      </c>
      <c r="T69">
        <f t="shared" si="33"/>
        <v>5.3814560205291464</v>
      </c>
      <c r="U69">
        <v>69</v>
      </c>
      <c r="W69">
        <f t="shared" si="34"/>
        <v>8.0743351716999996</v>
      </c>
      <c r="X69">
        <f t="shared" si="35"/>
        <v>10.771522599529309</v>
      </c>
    </row>
    <row r="70" spans="1:24" x14ac:dyDescent="0.25">
      <c r="A70">
        <v>70</v>
      </c>
      <c r="C70">
        <f t="shared" si="24"/>
        <v>17.200000001799999</v>
      </c>
      <c r="D70">
        <f t="shared" si="25"/>
        <v>1.1052010299318387</v>
      </c>
      <c r="E70">
        <v>70</v>
      </c>
      <c r="G70">
        <f t="shared" si="26"/>
        <v>17.200000001799999</v>
      </c>
      <c r="H70">
        <f t="shared" si="27"/>
        <v>3.5631104162505496</v>
      </c>
      <c r="I70">
        <v>70</v>
      </c>
      <c r="K70">
        <f t="shared" si="28"/>
        <v>12.8363636395</v>
      </c>
      <c r="L70">
        <f t="shared" si="29"/>
        <v>1.4641826560137656</v>
      </c>
      <c r="M70">
        <v>70</v>
      </c>
      <c r="O70">
        <f t="shared" si="30"/>
        <v>12.8363636395</v>
      </c>
      <c r="P70">
        <f t="shared" si="31"/>
        <v>6.1572146392209692</v>
      </c>
      <c r="Q70">
        <v>70</v>
      </c>
      <c r="S70">
        <f t="shared" si="32"/>
        <v>8.1608376856999989</v>
      </c>
      <c r="T70">
        <f t="shared" si="33"/>
        <v>5.4436513939920559</v>
      </c>
      <c r="U70">
        <v>70</v>
      </c>
      <c r="W70">
        <f t="shared" si="34"/>
        <v>8.1608376886000009</v>
      </c>
      <c r="X70">
        <f t="shared" si="35"/>
        <v>10.878023980984821</v>
      </c>
    </row>
    <row r="71" spans="1:24" x14ac:dyDescent="0.25">
      <c r="I71">
        <v>71</v>
      </c>
      <c r="K71">
        <f t="shared" si="28"/>
        <v>12.981818185000002</v>
      </c>
      <c r="L71">
        <f t="shared" si="29"/>
        <v>1.4106169276338409</v>
      </c>
      <c r="M71">
        <v>71</v>
      </c>
      <c r="O71">
        <f t="shared" si="30"/>
        <v>12.981818185000002</v>
      </c>
      <c r="P71">
        <f t="shared" si="31"/>
        <v>6.1123441725715733</v>
      </c>
    </row>
    <row r="72" spans="1:24" x14ac:dyDescent="0.25">
      <c r="I72">
        <v>72</v>
      </c>
      <c r="K72">
        <f t="shared" si="28"/>
        <v>13.1272727305</v>
      </c>
      <c r="L72">
        <f t="shared" si="29"/>
        <v>1.3568613480549412</v>
      </c>
      <c r="M72">
        <v>72</v>
      </c>
      <c r="O72">
        <f t="shared" si="30"/>
        <v>13.1272727305</v>
      </c>
      <c r="P72">
        <f t="shared" si="31"/>
        <v>6.0676635571211559</v>
      </c>
    </row>
    <row r="73" spans="1:24" x14ac:dyDescent="0.25">
      <c r="I73">
        <v>73</v>
      </c>
      <c r="K73">
        <f t="shared" si="28"/>
        <v>13.272727276000001</v>
      </c>
      <c r="L73">
        <f t="shared" si="29"/>
        <v>1.30291701227672</v>
      </c>
      <c r="M73">
        <v>73</v>
      </c>
      <c r="O73">
        <f t="shared" si="30"/>
        <v>13.272727276000001</v>
      </c>
      <c r="P73">
        <f t="shared" si="31"/>
        <v>6.0231716978700574</v>
      </c>
    </row>
    <row r="74" spans="1:24" x14ac:dyDescent="0.25">
      <c r="I74">
        <v>74</v>
      </c>
      <c r="K74">
        <f t="shared" si="28"/>
        <v>13.418181821499999</v>
      </c>
      <c r="L74">
        <f t="shared" si="29"/>
        <v>1.2487850519156889</v>
      </c>
      <c r="M74">
        <v>74</v>
      </c>
      <c r="O74">
        <f t="shared" si="30"/>
        <v>13.418181821499999</v>
      </c>
      <c r="P74">
        <f t="shared" si="31"/>
        <v>5.9788674632017695</v>
      </c>
    </row>
    <row r="75" spans="1:24" x14ac:dyDescent="0.25">
      <c r="I75">
        <v>75</v>
      </c>
      <c r="K75">
        <f t="shared" si="28"/>
        <v>13.563636367000001</v>
      </c>
      <c r="L75">
        <f t="shared" si="29"/>
        <v>1.1944666339417043</v>
      </c>
      <c r="M75">
        <v>75</v>
      </c>
      <c r="O75">
        <f t="shared" si="30"/>
        <v>13.563636367000001</v>
      </c>
      <c r="P75">
        <f t="shared" si="31"/>
        <v>5.9347496861464339</v>
      </c>
    </row>
    <row r="76" spans="1:24" x14ac:dyDescent="0.25">
      <c r="I76">
        <v>76</v>
      </c>
      <c r="K76">
        <f t="shared" si="28"/>
        <v>13.709090912499999</v>
      </c>
      <c r="L76">
        <f t="shared" si="29"/>
        <v>1.1399629593935252</v>
      </c>
      <c r="M76">
        <v>76</v>
      </c>
      <c r="O76">
        <f t="shared" si="30"/>
        <v>13.709090912499999</v>
      </c>
      <c r="P76">
        <f t="shared" si="31"/>
        <v>5.8908171656652968</v>
      </c>
    </row>
    <row r="77" spans="1:24" x14ac:dyDescent="0.25">
      <c r="I77">
        <v>77</v>
      </c>
      <c r="K77">
        <f t="shared" si="28"/>
        <v>13.854545458</v>
      </c>
      <c r="L77">
        <f t="shared" si="29"/>
        <v>1.085275262076427</v>
      </c>
      <c r="M77">
        <v>77</v>
      </c>
      <c r="O77">
        <f t="shared" si="30"/>
        <v>13.854545458</v>
      </c>
      <c r="P77">
        <f t="shared" si="31"/>
        <v>5.8470686679530743</v>
      </c>
    </row>
    <row r="78" spans="1:24" x14ac:dyDescent="0.25">
      <c r="I78">
        <v>78</v>
      </c>
      <c r="K78">
        <f t="shared" si="28"/>
        <v>14.000000003499999</v>
      </c>
      <c r="L78">
        <f t="shared" si="29"/>
        <v>1.0304048072448961</v>
      </c>
      <c r="M78">
        <v>78</v>
      </c>
      <c r="O78">
        <f t="shared" si="30"/>
        <v>14.000000003499999</v>
      </c>
      <c r="P78">
        <f t="shared" si="31"/>
        <v>5.8035029277552876</v>
      </c>
    </row>
    <row r="79" spans="1:24" x14ac:dyDescent="0.25">
      <c r="I79">
        <v>79</v>
      </c>
      <c r="K79">
        <f t="shared" si="28"/>
        <v>14.145454549</v>
      </c>
      <c r="L79">
        <f t="shared" si="29"/>
        <v>0.9753528902733084</v>
      </c>
      <c r="M79">
        <v>79</v>
      </c>
      <c r="O79">
        <f t="shared" si="30"/>
        <v>14.145454549</v>
      </c>
      <c r="P79">
        <f t="shared" si="31"/>
        <v>5.7601186496975547</v>
      </c>
    </row>
    <row r="80" spans="1:24" x14ac:dyDescent="0.25">
      <c r="I80">
        <v>80</v>
      </c>
      <c r="K80">
        <f t="shared" si="28"/>
        <v>14.290909094500002</v>
      </c>
      <c r="L80">
        <f t="shared" si="29"/>
        <v>0.92012083531751987</v>
      </c>
      <c r="M80">
        <v>80</v>
      </c>
      <c r="O80">
        <f t="shared" si="30"/>
        <v>14.290909094500002</v>
      </c>
      <c r="P80">
        <f t="shared" si="31"/>
        <v>5.7169145096240248</v>
      </c>
    </row>
    <row r="81" spans="9:16" x14ac:dyDescent="0.25">
      <c r="I81">
        <v>81</v>
      </c>
      <c r="K81">
        <f t="shared" si="28"/>
        <v>14.43636364</v>
      </c>
      <c r="L81">
        <f t="shared" si="29"/>
        <v>0.86470999397017767</v>
      </c>
      <c r="M81">
        <v>81</v>
      </c>
      <c r="O81">
        <f t="shared" si="30"/>
        <v>14.43636364</v>
      </c>
      <c r="P81">
        <f t="shared" si="31"/>
        <v>5.6738891559420486</v>
      </c>
    </row>
    <row r="82" spans="9:16" x14ac:dyDescent="0.25">
      <c r="I82">
        <v>82</v>
      </c>
      <c r="K82">
        <f t="shared" si="28"/>
        <v>14.581818185500001</v>
      </c>
      <c r="L82">
        <f t="shared" si="29"/>
        <v>0.80912174391253133</v>
      </c>
      <c r="M82">
        <v>82</v>
      </c>
      <c r="O82">
        <f t="shared" si="30"/>
        <v>14.581818185500001</v>
      </c>
      <c r="P82">
        <f t="shared" si="31"/>
        <v>5.6310412109703751</v>
      </c>
    </row>
    <row r="83" spans="9:16" x14ac:dyDescent="0.25">
      <c r="I83">
        <v>83</v>
      </c>
      <c r="K83">
        <f t="shared" si="28"/>
        <v>14.727272730999999</v>
      </c>
      <c r="L83">
        <f t="shared" si="29"/>
        <v>0.75335748756543008</v>
      </c>
      <c r="M83">
        <v>83</v>
      </c>
      <c r="O83">
        <f t="shared" si="30"/>
        <v>14.727272730999999</v>
      </c>
      <c r="P83">
        <f t="shared" si="31"/>
        <v>5.5883692722881593</v>
      </c>
    </row>
    <row r="84" spans="9:16" x14ac:dyDescent="0.25">
      <c r="I84">
        <v>84</v>
      </c>
      <c r="K84">
        <f t="shared" si="28"/>
        <v>14.872727276500001</v>
      </c>
      <c r="L84">
        <f t="shared" si="29"/>
        <v>0.69741865074208276</v>
      </c>
      <c r="M84">
        <v>84</v>
      </c>
      <c r="O84">
        <f t="shared" si="30"/>
        <v>14.872727276500001</v>
      </c>
      <c r="P84">
        <f t="shared" si="31"/>
        <v>5.5458719140821859</v>
      </c>
    </row>
    <row r="85" spans="9:16" x14ac:dyDescent="0.25">
      <c r="I85">
        <v>85</v>
      </c>
      <c r="K85">
        <f t="shared" si="28"/>
        <v>15.018181821999999</v>
      </c>
      <c r="L85">
        <f t="shared" si="29"/>
        <v>0.64130668130513557</v>
      </c>
      <c r="M85">
        <v>85</v>
      </c>
      <c r="O85">
        <f t="shared" si="30"/>
        <v>15.018181821999999</v>
      </c>
      <c r="P85">
        <f t="shared" si="31"/>
        <v>5.5035476884898156</v>
      </c>
    </row>
    <row r="86" spans="9:16" x14ac:dyDescent="0.25">
      <c r="I86">
        <v>86</v>
      </c>
      <c r="K86">
        <f t="shared" si="28"/>
        <v>15.163636367500001</v>
      </c>
      <c r="L86">
        <f t="shared" si="29"/>
        <v>0.58502304783042769</v>
      </c>
      <c r="M86">
        <v>86</v>
      </c>
      <c r="O86">
        <f t="shared" si="30"/>
        <v>15.163636367500001</v>
      </c>
      <c r="P86">
        <f t="shared" si="31"/>
        <v>5.4613951269352032</v>
      </c>
    </row>
    <row r="87" spans="9:16" x14ac:dyDescent="0.25">
      <c r="I87">
        <v>87</v>
      </c>
      <c r="K87">
        <f t="shared" si="28"/>
        <v>15.309090912999999</v>
      </c>
      <c r="L87">
        <f t="shared" si="29"/>
        <v>0.52856923827977687</v>
      </c>
      <c r="M87">
        <v>87</v>
      </c>
      <c r="O87">
        <f t="shared" si="30"/>
        <v>15.309090912999999</v>
      </c>
      <c r="P87">
        <f t="shared" si="31"/>
        <v>5.4194127414565365</v>
      </c>
    </row>
    <row r="88" spans="9:16" x14ac:dyDescent="0.25">
      <c r="I88">
        <v>88</v>
      </c>
      <c r="K88">
        <f t="shared" si="28"/>
        <v>15.4545454585</v>
      </c>
      <c r="L88">
        <f t="shared" si="29"/>
        <v>0.47194675868496017</v>
      </c>
      <c r="M88">
        <v>88</v>
      </c>
      <c r="O88">
        <f t="shared" si="30"/>
        <v>15.4545454585</v>
      </c>
      <c r="P88">
        <f t="shared" si="31"/>
        <v>5.3775990260220334</v>
      </c>
    </row>
    <row r="89" spans="9:16" x14ac:dyDescent="0.25">
      <c r="I89">
        <v>89</v>
      </c>
      <c r="K89">
        <f t="shared" si="28"/>
        <v>15.600000004000002</v>
      </c>
      <c r="L89">
        <f t="shared" si="29"/>
        <v>0.41515713184501779</v>
      </c>
      <c r="M89">
        <v>89</v>
      </c>
      <c r="O89">
        <f t="shared" si="30"/>
        <v>15.600000004000002</v>
      </c>
      <c r="P89">
        <f t="shared" si="31"/>
        <v>5.335952457832656</v>
      </c>
    </row>
    <row r="90" spans="9:16" x14ac:dyDescent="0.25">
      <c r="I90">
        <v>90</v>
      </c>
      <c r="K90">
        <f t="shared" si="28"/>
        <v>15.7454545495</v>
      </c>
      <c r="L90">
        <f t="shared" si="29"/>
        <v>0.35820189603882513</v>
      </c>
      <c r="M90">
        <v>90</v>
      </c>
      <c r="O90">
        <f t="shared" si="30"/>
        <v>15.7454545495</v>
      </c>
      <c r="P90">
        <f t="shared" si="31"/>
        <v>5.2944714986095303</v>
      </c>
    </row>
    <row r="91" spans="9:16" x14ac:dyDescent="0.25">
      <c r="I91">
        <v>91</v>
      </c>
      <c r="K91">
        <f t="shared" si="28"/>
        <v>15.890909095000001</v>
      </c>
      <c r="L91">
        <f t="shared" si="29"/>
        <v>0.30108260375480222</v>
      </c>
      <c r="M91">
        <v>91</v>
      </c>
      <c r="O91">
        <f t="shared" si="30"/>
        <v>15.890909095000001</v>
      </c>
      <c r="P91">
        <f t="shared" si="31"/>
        <v>5.2531545958642329</v>
      </c>
    </row>
    <row r="92" spans="9:16" x14ac:dyDescent="0.25">
      <c r="I92">
        <v>92</v>
      </c>
      <c r="K92">
        <f t="shared" si="28"/>
        <v>16.036363640499999</v>
      </c>
      <c r="L92">
        <f t="shared" si="29"/>
        <v>0.24380082043952322</v>
      </c>
      <c r="M92">
        <v>92</v>
      </c>
      <c r="O92">
        <f t="shared" si="30"/>
        <v>16.036363640499999</v>
      </c>
      <c r="P92">
        <f t="shared" si="31"/>
        <v>5.2120001841501953</v>
      </c>
    </row>
    <row r="93" spans="9:16" x14ac:dyDescent="0.25">
      <c r="I93">
        <v>93</v>
      </c>
      <c r="K93">
        <f t="shared" si="28"/>
        <v>16.181818186000001</v>
      </c>
      <c r="L93">
        <f t="shared" si="29"/>
        <v>0.18635812326680856</v>
      </c>
      <c r="M93">
        <v>93</v>
      </c>
      <c r="O93">
        <f t="shared" si="30"/>
        <v>16.181818186000001</v>
      </c>
      <c r="P93">
        <f t="shared" si="31"/>
        <v>5.1710066862935893</v>
      </c>
    </row>
    <row r="94" spans="9:16" x14ac:dyDescent="0.25">
      <c r="I94">
        <v>94</v>
      </c>
      <c r="K94">
        <f t="shared" si="28"/>
        <v>16.327272731499999</v>
      </c>
      <c r="L94">
        <f t="shared" si="29"/>
        <v>0.1287560999288595</v>
      </c>
      <c r="M94">
        <v>94</v>
      </c>
      <c r="O94">
        <f t="shared" si="30"/>
        <v>16.327272731499999</v>
      </c>
      <c r="P94">
        <f t="shared" si="31"/>
        <v>5.1301725146022203</v>
      </c>
    </row>
    <row r="95" spans="9:16" x14ac:dyDescent="0.25">
      <c r="I95">
        <v>95</v>
      </c>
      <c r="K95">
        <f t="shared" si="28"/>
        <v>16.472727277000001</v>
      </c>
      <c r="L95">
        <f t="shared" si="29"/>
        <v>7.0996347450760666E-2</v>
      </c>
      <c r="M95">
        <v>95</v>
      </c>
      <c r="O95">
        <f t="shared" si="30"/>
        <v>16.472727277000001</v>
      </c>
      <c r="P95">
        <f t="shared" si="31"/>
        <v>5.0894960720509985</v>
      </c>
    </row>
    <row r="96" spans="9:16" x14ac:dyDescent="0.25">
      <c r="I96">
        <v>96</v>
      </c>
      <c r="K96">
        <f t="shared" si="28"/>
        <v>16.618181822499999</v>
      </c>
      <c r="L96">
        <f t="shared" si="29"/>
        <v>1.3080471029669916E-2</v>
      </c>
      <c r="M96">
        <v>96</v>
      </c>
      <c r="O96">
        <f t="shared" si="30"/>
        <v>16.618181822499999</v>
      </c>
      <c r="P96">
        <f t="shared" si="31"/>
        <v>5.0489757534427726</v>
      </c>
    </row>
    <row r="97" spans="9:16" x14ac:dyDescent="0.25">
      <c r="I97">
        <v>97</v>
      </c>
      <c r="K97">
        <f t="shared" si="28"/>
        <v>16.763636368</v>
      </c>
      <c r="L97">
        <f t="shared" ref="L97:L100" si="36">8.15419575298999+-0.338374420307542*K97-2.23918594285311*(1.05555555555556+(K97-9.72222222222222)^2/227.611111111111)^0.5</f>
        <v>-4.4989917100198173E-2</v>
      </c>
      <c r="M97">
        <v>97</v>
      </c>
      <c r="O97">
        <f t="shared" si="30"/>
        <v>16.763636368</v>
      </c>
      <c r="P97">
        <f t="shared" ref="P97:P100" si="37">8.15419575298999+-0.338374420307542*O97+2.23918594285311*(1.05555555555556+(O97-9.72222222222222)^2/227.611111111111)^0.5</f>
        <v>5.00860994654332</v>
      </c>
    </row>
    <row r="98" spans="9:16" x14ac:dyDescent="0.25">
      <c r="I98">
        <v>98</v>
      </c>
      <c r="K98">
        <f t="shared" si="28"/>
        <v>16.909090913500002</v>
      </c>
      <c r="L98">
        <f t="shared" si="36"/>
        <v>-0.103213198775713</v>
      </c>
      <c r="M98">
        <v>98</v>
      </c>
      <c r="O98">
        <f t="shared" si="30"/>
        <v>16.909090913500002</v>
      </c>
      <c r="P98">
        <f t="shared" si="37"/>
        <v>4.9683970331895146</v>
      </c>
    </row>
    <row r="99" spans="9:16" x14ac:dyDescent="0.25">
      <c r="I99">
        <v>99</v>
      </c>
      <c r="K99">
        <f t="shared" si="28"/>
        <v>17.054545459</v>
      </c>
      <c r="L99">
        <f t="shared" si="36"/>
        <v>-0.16158775098521838</v>
      </c>
      <c r="M99">
        <v>99</v>
      </c>
      <c r="O99">
        <f t="shared" si="30"/>
        <v>17.054545459</v>
      </c>
      <c r="P99">
        <f t="shared" si="37"/>
        <v>4.9283353903697016</v>
      </c>
    </row>
    <row r="100" spans="9:16" x14ac:dyDescent="0.25">
      <c r="I100">
        <v>100</v>
      </c>
      <c r="K100">
        <f t="shared" si="28"/>
        <v>17.200000004500001</v>
      </c>
      <c r="L100">
        <f t="shared" si="36"/>
        <v>-0.22011194692033609</v>
      </c>
      <c r="M100">
        <v>100</v>
      </c>
      <c r="O100">
        <f t="shared" si="30"/>
        <v>17.200000004500001</v>
      </c>
      <c r="P100">
        <f t="shared" si="37"/>
        <v>4.8884233912755013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554C2-D865-4B3E-AA52-5DF3E4862BCB}">
  <sheetPr codeName="XLSTAT_20230621_052021_1_HID"/>
  <dimension ref="A1:X100"/>
  <sheetViews>
    <sheetView workbookViewId="0">
      <selection activeCell="U1" sqref="U1"/>
    </sheetView>
  </sheetViews>
  <sheetFormatPr baseColWidth="10" defaultRowHeight="15" x14ac:dyDescent="0.25"/>
  <sheetData>
    <row r="1" spans="1:24" x14ac:dyDescent="0.25">
      <c r="A1">
        <v>1</v>
      </c>
      <c r="C1">
        <f t="shared" ref="C1:C32" si="0">2.8+(A1-1)*0.2086956522</f>
        <v>2.8</v>
      </c>
      <c r="D1">
        <f t="shared" ref="D1:D32" si="1">2.76983158408592+1.92653160849402*C1-7.63820533294699*(0.0555555555555556+(C1-9.72222222222222)^2/227.611111111111)^0.5</f>
        <v>4.2241266286984516</v>
      </c>
      <c r="E1">
        <v>1</v>
      </c>
      <c r="G1">
        <f t="shared" ref="G1:G32" si="2">2.8+(E1-1)*0.2086956522</f>
        <v>2.8</v>
      </c>
      <c r="H1">
        <f t="shared" ref="H1:H32" si="3">2.76983158408592+1.92653160849402*G1+7.63820533294699*(0.0555555555555556+(G1-9.72222222222222)^2/227.611111111111)^0.5</f>
        <v>12.1041135470399</v>
      </c>
      <c r="I1">
        <v>1</v>
      </c>
      <c r="K1">
        <f t="shared" ref="K1:K32" si="4">2.8+(I1-1)*0.1454545455</f>
        <v>2.8</v>
      </c>
      <c r="L1">
        <f t="shared" ref="L1:L32" si="5">2.76983158408592+1.92653160849402*K1-7.63820533294699*(1.05555555555556+(K1-9.72222222222222)^2/227.611111111111)^0.5</f>
        <v>-0.43039730210498028</v>
      </c>
      <c r="M1">
        <v>1</v>
      </c>
      <c r="O1">
        <f t="shared" ref="O1:O32" si="6">2.8+(M1-1)*0.1454545455</f>
        <v>2.8</v>
      </c>
      <c r="P1">
        <f t="shared" ref="P1:P32" si="7">2.76983158408592+1.92653160849402*O1+7.63820533294699*(1.05555555555556+(O1-9.72222222222222)^2/227.611111111111)^0.5</f>
        <v>16.75863747784333</v>
      </c>
      <c r="Q1">
        <v>1</v>
      </c>
      <c r="S1">
        <f t="shared" ref="S1:S32" si="8">9.551222846+(Q1-1)*0.4458258252</f>
        <v>9.5512228459999999</v>
      </c>
      <c r="T1">
        <f t="shared" ref="T1:T32" si="9">0+1*S1-7.63820533294699*(1.05555555555556+(S1-21.5)^2/844.784110324628)^0.5</f>
        <v>1.0987930000707955</v>
      </c>
      <c r="U1">
        <v>1</v>
      </c>
      <c r="W1">
        <f t="shared" ref="W1:W32" si="10">8.3807664144+(U1-1)*0.4627889619</f>
        <v>8.3807664144</v>
      </c>
      <c r="X1">
        <f t="shared" ref="X1:X32" si="11">0+1*W1+7.63820533294699*(1.05555555555556+(W1-21.5)^2/844.784110324628)^0.5</f>
        <v>16.952225393698512</v>
      </c>
    </row>
    <row r="2" spans="1:24" x14ac:dyDescent="0.25">
      <c r="A2">
        <v>2</v>
      </c>
      <c r="C2">
        <f t="shared" si="0"/>
        <v>3.0086956521999997</v>
      </c>
      <c r="D2">
        <f t="shared" si="1"/>
        <v>4.7198660960801169</v>
      </c>
      <c r="E2">
        <v>2</v>
      </c>
      <c r="G2">
        <f t="shared" si="2"/>
        <v>3.0086956521999997</v>
      </c>
      <c r="H2">
        <f t="shared" si="3"/>
        <v>12.412491620695384</v>
      </c>
      <c r="I2">
        <v>2</v>
      </c>
      <c r="K2">
        <f t="shared" si="4"/>
        <v>2.9454545454999996</v>
      </c>
      <c r="L2">
        <f t="shared" si="5"/>
        <v>-0.12040949835615145</v>
      </c>
      <c r="M2">
        <v>2</v>
      </c>
      <c r="O2">
        <f t="shared" si="6"/>
        <v>2.9454545454999996</v>
      </c>
      <c r="P2">
        <f t="shared" si="7"/>
        <v>17.009095233104269</v>
      </c>
      <c r="Q2">
        <v>2</v>
      </c>
      <c r="S2">
        <f t="shared" si="8"/>
        <v>9.9970486712</v>
      </c>
      <c r="T2">
        <f t="shared" si="9"/>
        <v>1.5874408250899688</v>
      </c>
      <c r="U2">
        <v>2</v>
      </c>
      <c r="W2">
        <f t="shared" si="10"/>
        <v>8.8435553762999994</v>
      </c>
      <c r="X2">
        <f t="shared" si="11"/>
        <v>17.366823143293846</v>
      </c>
    </row>
    <row r="3" spans="1:24" x14ac:dyDescent="0.25">
      <c r="A3">
        <v>3</v>
      </c>
      <c r="C3">
        <f t="shared" si="0"/>
        <v>3.2173913044</v>
      </c>
      <c r="D3">
        <f t="shared" si="1"/>
        <v>5.2149693096964249</v>
      </c>
      <c r="E3">
        <v>3</v>
      </c>
      <c r="G3">
        <f t="shared" si="2"/>
        <v>3.2173913044</v>
      </c>
      <c r="H3">
        <f t="shared" si="3"/>
        <v>12.721505948116228</v>
      </c>
      <c r="I3">
        <v>3</v>
      </c>
      <c r="K3">
        <f t="shared" si="4"/>
        <v>3.0909090909999999</v>
      </c>
      <c r="L3">
        <f t="shared" si="5"/>
        <v>0.18904673408650829</v>
      </c>
      <c r="M3">
        <v>3</v>
      </c>
      <c r="O3">
        <f t="shared" si="6"/>
        <v>3.0909090909999999</v>
      </c>
      <c r="P3">
        <f t="shared" si="7"/>
        <v>17.26008455967137</v>
      </c>
      <c r="Q3">
        <v>3</v>
      </c>
      <c r="S3">
        <f t="shared" si="8"/>
        <v>10.4428744964</v>
      </c>
      <c r="T3">
        <f t="shared" si="9"/>
        <v>2.0746673151871438</v>
      </c>
      <c r="U3">
        <v>3</v>
      </c>
      <c r="W3">
        <f t="shared" si="10"/>
        <v>9.3063443382000006</v>
      </c>
      <c r="X3">
        <f t="shared" si="11"/>
        <v>17.782891995567542</v>
      </c>
    </row>
    <row r="4" spans="1:24" x14ac:dyDescent="0.25">
      <c r="A4">
        <v>4</v>
      </c>
      <c r="C4">
        <f t="shared" si="0"/>
        <v>3.4260869565999998</v>
      </c>
      <c r="D4">
        <f t="shared" si="1"/>
        <v>5.709387756780222</v>
      </c>
      <c r="E4">
        <v>4</v>
      </c>
      <c r="G4">
        <f t="shared" si="2"/>
        <v>3.4260869565999998</v>
      </c>
      <c r="H4">
        <f t="shared" si="3"/>
        <v>13.031205042069578</v>
      </c>
      <c r="I4">
        <v>4</v>
      </c>
      <c r="K4">
        <f t="shared" si="4"/>
        <v>3.2363636364999997</v>
      </c>
      <c r="L4">
        <f t="shared" si="5"/>
        <v>0.49796591503233145</v>
      </c>
      <c r="M4">
        <v>4</v>
      </c>
      <c r="O4">
        <f t="shared" si="6"/>
        <v>3.2363636364999997</v>
      </c>
      <c r="P4">
        <f t="shared" si="7"/>
        <v>17.511610937735309</v>
      </c>
      <c r="Q4">
        <v>4</v>
      </c>
      <c r="S4">
        <f t="shared" si="8"/>
        <v>10.8887003216</v>
      </c>
      <c r="T4">
        <f t="shared" si="9"/>
        <v>2.5604512734869562</v>
      </c>
      <c r="U4">
        <v>4</v>
      </c>
      <c r="W4">
        <f t="shared" si="10"/>
        <v>9.7691333001</v>
      </c>
      <c r="X4">
        <f t="shared" si="11"/>
        <v>18.200456405819402</v>
      </c>
    </row>
    <row r="5" spans="1:24" x14ac:dyDescent="0.25">
      <c r="A5">
        <v>5</v>
      </c>
      <c r="C5">
        <f t="shared" si="0"/>
        <v>3.6347826087999997</v>
      </c>
      <c r="D5">
        <f t="shared" si="1"/>
        <v>6.2030682794136709</v>
      </c>
      <c r="E5">
        <v>5</v>
      </c>
      <c r="G5">
        <f t="shared" si="2"/>
        <v>3.6347826087999997</v>
      </c>
      <c r="H5">
        <f t="shared" si="3"/>
        <v>13.341642060473276</v>
      </c>
      <c r="I5">
        <v>5</v>
      </c>
      <c r="K5">
        <f t="shared" si="4"/>
        <v>3.381818182</v>
      </c>
      <c r="L5">
        <f t="shared" si="5"/>
        <v>0.80634259146116172</v>
      </c>
      <c r="M5">
        <v>5</v>
      </c>
      <c r="O5">
        <f t="shared" si="6"/>
        <v>3.381818182</v>
      </c>
      <c r="P5">
        <f t="shared" si="7"/>
        <v>17.763679820316241</v>
      </c>
      <c r="Q5">
        <v>5</v>
      </c>
      <c r="S5">
        <f t="shared" si="8"/>
        <v>11.3345261468</v>
      </c>
      <c r="T5">
        <f t="shared" si="9"/>
        <v>3.0447718401612569</v>
      </c>
      <c r="U5">
        <v>5</v>
      </c>
      <c r="W5">
        <f t="shared" si="10"/>
        <v>10.231922261999999</v>
      </c>
      <c r="X5">
        <f t="shared" si="11"/>
        <v>18.619540565435145</v>
      </c>
    </row>
    <row r="6" spans="1:24" x14ac:dyDescent="0.25">
      <c r="A6">
        <v>6</v>
      </c>
      <c r="C6">
        <f t="shared" si="0"/>
        <v>3.8434782609999996</v>
      </c>
      <c r="D6">
        <f t="shared" si="1"/>
        <v>6.6959525669037685</v>
      </c>
      <c r="E6">
        <v>6</v>
      </c>
      <c r="G6">
        <f t="shared" si="2"/>
        <v>3.8434782609999996</v>
      </c>
      <c r="H6">
        <f t="shared" si="3"/>
        <v>13.65287531402033</v>
      </c>
      <c r="I6">
        <v>6</v>
      </c>
      <c r="K6">
        <f t="shared" si="4"/>
        <v>3.5272727274999998</v>
      </c>
      <c r="L6">
        <f t="shared" si="5"/>
        <v>1.1141713414674399</v>
      </c>
      <c r="M6">
        <v>6</v>
      </c>
      <c r="O6">
        <f t="shared" si="6"/>
        <v>3.5272727274999998</v>
      </c>
      <c r="P6">
        <f t="shared" si="7"/>
        <v>18.016296629319726</v>
      </c>
      <c r="Q6">
        <v>6</v>
      </c>
      <c r="S6">
        <f t="shared" si="8"/>
        <v>11.780351972</v>
      </c>
      <c r="T6">
        <f t="shared" si="9"/>
        <v>3.5276085373098258</v>
      </c>
      <c r="U6">
        <v>6</v>
      </c>
      <c r="W6">
        <f t="shared" si="10"/>
        <v>10.694711223900001</v>
      </c>
      <c r="X6">
        <f t="shared" si="11"/>
        <v>19.040168351036328</v>
      </c>
    </row>
    <row r="7" spans="1:24" x14ac:dyDescent="0.25">
      <c r="A7">
        <v>7</v>
      </c>
      <c r="C7">
        <f t="shared" si="0"/>
        <v>4.0521739131999999</v>
      </c>
      <c r="D7">
        <f t="shared" si="1"/>
        <v>7.1879765915970335</v>
      </c>
      <c r="E7">
        <v>7</v>
      </c>
      <c r="G7">
        <f t="shared" si="2"/>
        <v>4.0521739131999999</v>
      </c>
      <c r="H7">
        <f t="shared" si="3"/>
        <v>13.964968830364215</v>
      </c>
      <c r="I7">
        <v>7</v>
      </c>
      <c r="K7">
        <f t="shared" si="4"/>
        <v>3.6727272729999996</v>
      </c>
      <c r="L7">
        <f t="shared" si="5"/>
        <v>1.4214467782892228</v>
      </c>
      <c r="M7">
        <v>7</v>
      </c>
      <c r="O7">
        <f t="shared" si="6"/>
        <v>3.6727272729999996</v>
      </c>
      <c r="P7">
        <f t="shared" si="7"/>
        <v>18.269466751507707</v>
      </c>
      <c r="Q7">
        <v>7</v>
      </c>
      <c r="S7">
        <f t="shared" si="8"/>
        <v>12.2261777972</v>
      </c>
      <c r="T7">
        <f t="shared" si="9"/>
        <v>4.0089413146254405</v>
      </c>
      <c r="U7">
        <v>7</v>
      </c>
      <c r="W7">
        <f t="shared" si="10"/>
        <v>11.1575001858</v>
      </c>
      <c r="X7">
        <f t="shared" si="11"/>
        <v>19.462363272166233</v>
      </c>
    </row>
    <row r="8" spans="1:24" x14ac:dyDescent="0.25">
      <c r="A8">
        <v>8</v>
      </c>
      <c r="C8">
        <f t="shared" si="0"/>
        <v>4.2608695654000002</v>
      </c>
      <c r="D8">
        <f t="shared" si="1"/>
        <v>7.6790699832952907</v>
      </c>
      <c r="E8">
        <v>8</v>
      </c>
      <c r="G8">
        <f t="shared" si="2"/>
        <v>4.2608695654000002</v>
      </c>
      <c r="H8">
        <f t="shared" si="3"/>
        <v>14.277992979703109</v>
      </c>
      <c r="I8">
        <v>8</v>
      </c>
      <c r="K8">
        <f t="shared" si="4"/>
        <v>3.8181818184999998</v>
      </c>
      <c r="L8">
        <f t="shared" si="5"/>
        <v>1.7281635544177636</v>
      </c>
      <c r="M8">
        <v>8</v>
      </c>
      <c r="O8">
        <f t="shared" si="6"/>
        <v>3.8181818184999998</v>
      </c>
      <c r="P8">
        <f t="shared" si="7"/>
        <v>18.523195534388933</v>
      </c>
      <c r="Q8">
        <v>8</v>
      </c>
      <c r="S8">
        <f t="shared" si="8"/>
        <v>12.6720036224</v>
      </c>
      <c r="T8">
        <f t="shared" si="9"/>
        <v>4.4887505956609832</v>
      </c>
      <c r="U8">
        <v>8</v>
      </c>
      <c r="W8">
        <f t="shared" si="10"/>
        <v>11.620289147699999</v>
      </c>
      <c r="X8">
        <f t="shared" si="11"/>
        <v>19.886148417695722</v>
      </c>
    </row>
    <row r="9" spans="1:24" x14ac:dyDescent="0.25">
      <c r="A9">
        <v>9</v>
      </c>
      <c r="C9">
        <f t="shared" si="0"/>
        <v>4.4695652175999996</v>
      </c>
      <c r="D9">
        <f t="shared" si="1"/>
        <v>8.1691553377630939</v>
      </c>
      <c r="E9">
        <v>9</v>
      </c>
      <c r="G9">
        <f t="shared" si="2"/>
        <v>4.4695652175999996</v>
      </c>
      <c r="H9">
        <f t="shared" si="3"/>
        <v>14.59202516627245</v>
      </c>
      <c r="I9">
        <v>9</v>
      </c>
      <c r="K9">
        <f t="shared" si="4"/>
        <v>3.9636363640000001</v>
      </c>
      <c r="L9">
        <f t="shared" si="5"/>
        <v>2.0343163657830896</v>
      </c>
      <c r="M9">
        <v>9</v>
      </c>
      <c r="O9">
        <f t="shared" si="6"/>
        <v>3.9636363640000001</v>
      </c>
      <c r="P9">
        <f t="shared" si="7"/>
        <v>18.777488282033367</v>
      </c>
      <c r="Q9">
        <v>9</v>
      </c>
      <c r="S9">
        <f t="shared" si="8"/>
        <v>13.1178294476</v>
      </c>
      <c r="T9">
        <f t="shared" si="9"/>
        <v>4.9670173245009401</v>
      </c>
      <c r="U9">
        <v>9</v>
      </c>
      <c r="W9">
        <f t="shared" si="10"/>
        <v>12.083078109600001</v>
      </c>
      <c r="X9">
        <f t="shared" si="11"/>
        <v>20.311546401155105</v>
      </c>
    </row>
    <row r="10" spans="1:24" x14ac:dyDescent="0.25">
      <c r="A10">
        <v>10</v>
      </c>
      <c r="C10">
        <f t="shared" si="0"/>
        <v>4.6782608697999999</v>
      </c>
      <c r="D10">
        <f t="shared" si="1"/>
        <v>8.6581474555388915</v>
      </c>
      <c r="E10">
        <v>10</v>
      </c>
      <c r="G10">
        <f t="shared" si="2"/>
        <v>4.6782608697999999</v>
      </c>
      <c r="H10">
        <f t="shared" si="3"/>
        <v>14.907150589533803</v>
      </c>
      <c r="I10">
        <v>10</v>
      </c>
      <c r="K10">
        <f t="shared" si="4"/>
        <v>4.1090909094999999</v>
      </c>
      <c r="L10">
        <f t="shared" si="5"/>
        <v>2.339899956010516</v>
      </c>
      <c r="M10">
        <v>10</v>
      </c>
      <c r="O10">
        <f t="shared" si="6"/>
        <v>4.1090909094999999</v>
      </c>
      <c r="P10">
        <f t="shared" si="7"/>
        <v>19.032350250815707</v>
      </c>
      <c r="Q10">
        <v>10</v>
      </c>
      <c r="S10">
        <f t="shared" si="8"/>
        <v>13.5636552728</v>
      </c>
      <c r="T10">
        <f t="shared" si="9"/>
        <v>5.4437230126250213</v>
      </c>
      <c r="U10">
        <v>10</v>
      </c>
      <c r="W10">
        <f t="shared" si="10"/>
        <v>12.5458670715</v>
      </c>
      <c r="X10">
        <f t="shared" si="11"/>
        <v>20.738579305220227</v>
      </c>
    </row>
    <row r="11" spans="1:24" x14ac:dyDescent="0.25">
      <c r="A11">
        <v>11</v>
      </c>
      <c r="C11">
        <f t="shared" si="0"/>
        <v>4.8869565220000002</v>
      </c>
      <c r="D11">
        <f t="shared" si="1"/>
        <v>9.1459525085417397</v>
      </c>
      <c r="E11">
        <v>11</v>
      </c>
      <c r="G11">
        <f t="shared" si="2"/>
        <v>4.8869565220000002</v>
      </c>
      <c r="H11">
        <f t="shared" si="3"/>
        <v>15.223463077568105</v>
      </c>
      <c r="I11">
        <v>11</v>
      </c>
      <c r="K11">
        <f t="shared" si="4"/>
        <v>4.2545454549999997</v>
      </c>
      <c r="L11">
        <f t="shared" si="5"/>
        <v>2.6449091207425468</v>
      </c>
      <c r="M11">
        <v>11</v>
      </c>
      <c r="O11">
        <f t="shared" si="6"/>
        <v>4.2545454549999997</v>
      </c>
      <c r="P11">
        <f t="shared" si="7"/>
        <v>19.287786645093433</v>
      </c>
      <c r="Q11">
        <v>11</v>
      </c>
      <c r="S11">
        <f t="shared" si="8"/>
        <v>14.009481098</v>
      </c>
      <c r="T11">
        <f t="shared" si="9"/>
        <v>5.9188497857383648</v>
      </c>
      <c r="U11">
        <v>11</v>
      </c>
      <c r="W11">
        <f t="shared" si="10"/>
        <v>13.008656033400001</v>
      </c>
      <c r="X11">
        <f t="shared" si="11"/>
        <v>21.16726862560207</v>
      </c>
    </row>
    <row r="12" spans="1:24" x14ac:dyDescent="0.25">
      <c r="A12">
        <v>12</v>
      </c>
      <c r="C12">
        <f t="shared" si="0"/>
        <v>5.0956521741999996</v>
      </c>
      <c r="D12">
        <f t="shared" si="1"/>
        <v>9.6324671340207466</v>
      </c>
      <c r="E12">
        <v>12</v>
      </c>
      <c r="G12">
        <f t="shared" si="2"/>
        <v>5.0956521741999996</v>
      </c>
      <c r="H12">
        <f t="shared" si="3"/>
        <v>15.541065993126242</v>
      </c>
      <c r="I12">
        <v>12</v>
      </c>
      <c r="K12">
        <f t="shared" si="4"/>
        <v>4.4000000005000004</v>
      </c>
      <c r="L12">
        <f t="shared" si="5"/>
        <v>2.9493387120204062</v>
      </c>
      <c r="M12">
        <v>12</v>
      </c>
      <c r="O12">
        <f t="shared" si="6"/>
        <v>4.4000000005000004</v>
      </c>
      <c r="P12">
        <f t="shared" si="7"/>
        <v>19.543802612825345</v>
      </c>
      <c r="Q12">
        <v>12</v>
      </c>
      <c r="S12">
        <f t="shared" si="8"/>
        <v>14.4553069232</v>
      </c>
      <c r="T12">
        <f t="shared" si="9"/>
        <v>6.392380430330741</v>
      </c>
      <c r="U12">
        <v>12</v>
      </c>
      <c r="W12">
        <f t="shared" si="10"/>
        <v>13.471444995300001</v>
      </c>
      <c r="X12">
        <f t="shared" si="11"/>
        <v>21.597635214609106</v>
      </c>
    </row>
    <row r="13" spans="1:24" x14ac:dyDescent="0.25">
      <c r="A13">
        <v>13</v>
      </c>
      <c r="C13">
        <f t="shared" si="0"/>
        <v>5.3043478263999999</v>
      </c>
      <c r="D13">
        <f t="shared" si="1"/>
        <v>10.117577458504488</v>
      </c>
      <c r="E13">
        <v>13</v>
      </c>
      <c r="G13">
        <f t="shared" si="2"/>
        <v>5.3043478263999999</v>
      </c>
      <c r="H13">
        <f t="shared" si="3"/>
        <v>15.860073209679651</v>
      </c>
      <c r="I13">
        <v>13</v>
      </c>
      <c r="K13">
        <f t="shared" si="4"/>
        <v>4.5454545460000002</v>
      </c>
      <c r="L13">
        <f t="shared" si="5"/>
        <v>3.2531836427188132</v>
      </c>
      <c r="M13">
        <v>13</v>
      </c>
      <c r="O13">
        <f t="shared" si="6"/>
        <v>4.5454545460000002</v>
      </c>
      <c r="P13">
        <f t="shared" si="7"/>
        <v>19.800403241136696</v>
      </c>
      <c r="Q13">
        <v>13</v>
      </c>
      <c r="S13">
        <f t="shared" si="8"/>
        <v>14.9011327484</v>
      </c>
      <c r="T13">
        <f t="shared" si="9"/>
        <v>6.8642984397170199</v>
      </c>
      <c r="U13">
        <v>13</v>
      </c>
      <c r="W13">
        <f t="shared" si="10"/>
        <v>13.9342339572</v>
      </c>
      <c r="X13">
        <f t="shared" si="11"/>
        <v>22.029699224670395</v>
      </c>
    </row>
    <row r="14" spans="1:24" x14ac:dyDescent="0.25">
      <c r="A14">
        <v>14</v>
      </c>
      <c r="C14">
        <f t="shared" si="0"/>
        <v>5.5130434786000002</v>
      </c>
      <c r="D14">
        <f t="shared" si="1"/>
        <v>10.601158058922939</v>
      </c>
      <c r="E14">
        <v>14</v>
      </c>
      <c r="G14">
        <f t="shared" si="2"/>
        <v>5.5130434786000002</v>
      </c>
      <c r="H14">
        <f t="shared" si="3"/>
        <v>16.180610150298349</v>
      </c>
      <c r="I14">
        <v>14</v>
      </c>
      <c r="K14">
        <f t="shared" si="4"/>
        <v>4.6909090915</v>
      </c>
      <c r="L14">
        <f t="shared" si="5"/>
        <v>3.5564388910274545</v>
      </c>
      <c r="M14">
        <v>14</v>
      </c>
      <c r="O14">
        <f t="shared" si="6"/>
        <v>4.6909090915</v>
      </c>
      <c r="P14">
        <f t="shared" si="7"/>
        <v>20.057593551837819</v>
      </c>
      <c r="Q14">
        <v>14</v>
      </c>
      <c r="S14">
        <f t="shared" si="8"/>
        <v>15.3469585736</v>
      </c>
      <c r="T14">
        <f t="shared" si="9"/>
        <v>7.3345880593026784</v>
      </c>
      <c r="U14">
        <v>14</v>
      </c>
      <c r="W14">
        <f t="shared" si="10"/>
        <v>14.397022919099999</v>
      </c>
      <c r="X14">
        <f t="shared" si="11"/>
        <v>22.463480052123884</v>
      </c>
    </row>
    <row r="15" spans="1:24" x14ac:dyDescent="0.25">
      <c r="A15">
        <v>15</v>
      </c>
      <c r="C15">
        <f t="shared" si="0"/>
        <v>5.7217391307999996</v>
      </c>
      <c r="D15">
        <f t="shared" si="1"/>
        <v>11.08307087442104</v>
      </c>
      <c r="E15">
        <v>15</v>
      </c>
      <c r="G15">
        <f t="shared" si="2"/>
        <v>5.7217391307999996</v>
      </c>
      <c r="H15">
        <f t="shared" si="3"/>
        <v>16.502814875837402</v>
      </c>
      <c r="I15">
        <v>15</v>
      </c>
      <c r="K15">
        <f t="shared" si="4"/>
        <v>4.8363636369999998</v>
      </c>
      <c r="L15">
        <f t="shared" si="5"/>
        <v>3.8590995049719421</v>
      </c>
      <c r="M15">
        <v>15</v>
      </c>
      <c r="O15">
        <f t="shared" si="6"/>
        <v>4.8363636369999998</v>
      </c>
      <c r="P15">
        <f t="shared" si="7"/>
        <v>20.315378496903094</v>
      </c>
      <c r="Q15">
        <v>15</v>
      </c>
      <c r="S15">
        <f t="shared" si="8"/>
        <v>15.7927843988</v>
      </c>
      <c r="T15">
        <f t="shared" si="9"/>
        <v>7.803234330812141</v>
      </c>
      <c r="U15">
        <v>15</v>
      </c>
      <c r="W15">
        <f t="shared" si="10"/>
        <v>14.859811881000001</v>
      </c>
      <c r="X15">
        <f t="shared" si="11"/>
        <v>22.898996281588907</v>
      </c>
    </row>
    <row r="16" spans="1:24" x14ac:dyDescent="0.25">
      <c r="A16">
        <v>16</v>
      </c>
      <c r="C16">
        <f t="shared" si="0"/>
        <v>5.9304347829999999</v>
      </c>
      <c r="D16">
        <f t="shared" si="1"/>
        <v>11.563164091054503</v>
      </c>
      <c r="E16">
        <v>16</v>
      </c>
      <c r="G16">
        <f t="shared" si="2"/>
        <v>5.9304347829999999</v>
      </c>
      <c r="H16">
        <f t="shared" si="3"/>
        <v>16.826839200241089</v>
      </c>
      <c r="I16">
        <v>16</v>
      </c>
      <c r="K16">
        <f t="shared" si="4"/>
        <v>4.9818181824999996</v>
      </c>
      <c r="L16">
        <f t="shared" si="5"/>
        <v>4.1611606069669573</v>
      </c>
      <c r="M16">
        <v>16</v>
      </c>
      <c r="O16">
        <f t="shared" si="6"/>
        <v>4.9818181824999996</v>
      </c>
      <c r="P16">
        <f t="shared" si="7"/>
        <v>20.573762953917843</v>
      </c>
      <c r="Q16">
        <v>16</v>
      </c>
      <c r="S16">
        <f t="shared" si="8"/>
        <v>16.238610223999999</v>
      </c>
      <c r="T16">
        <f t="shared" si="9"/>
        <v>8.2702231352137829</v>
      </c>
      <c r="U16">
        <v>16</v>
      </c>
      <c r="W16">
        <f t="shared" si="10"/>
        <v>15.3226008429</v>
      </c>
      <c r="X16">
        <f t="shared" si="11"/>
        <v>23.336265631253703</v>
      </c>
    </row>
    <row r="17" spans="1:24" x14ac:dyDescent="0.25">
      <c r="A17">
        <v>17</v>
      </c>
      <c r="C17">
        <f t="shared" si="0"/>
        <v>6.1391304352000002</v>
      </c>
      <c r="D17">
        <f t="shared" si="1"/>
        <v>12.041271033094151</v>
      </c>
      <c r="E17">
        <v>17</v>
      </c>
      <c r="G17">
        <f t="shared" si="2"/>
        <v>6.1391304352000002</v>
      </c>
      <c r="H17">
        <f t="shared" si="3"/>
        <v>17.152849799238592</v>
      </c>
      <c r="I17">
        <v>17</v>
      </c>
      <c r="K17">
        <f t="shared" si="4"/>
        <v>5.1272727279999994</v>
      </c>
      <c r="L17">
        <f t="shared" si="5"/>
        <v>4.4626173983936681</v>
      </c>
      <c r="M17">
        <v>17</v>
      </c>
      <c r="O17">
        <f t="shared" si="6"/>
        <v>5.1272727279999994</v>
      </c>
      <c r="P17">
        <f t="shared" si="7"/>
        <v>20.832751721500891</v>
      </c>
      <c r="Q17">
        <v>17</v>
      </c>
      <c r="S17">
        <f t="shared" si="8"/>
        <v>16.684436049200002</v>
      </c>
      <c r="T17">
        <f t="shared" si="9"/>
        <v>8.7355412340743595</v>
      </c>
      <c r="U17">
        <v>17</v>
      </c>
      <c r="W17">
        <f t="shared" si="10"/>
        <v>15.785389804800001</v>
      </c>
      <c r="X17">
        <f t="shared" si="11"/>
        <v>23.775304899417442</v>
      </c>
    </row>
    <row r="18" spans="1:24" x14ac:dyDescent="0.25">
      <c r="A18">
        <v>18</v>
      </c>
      <c r="C18">
        <f t="shared" si="0"/>
        <v>6.3478260873999997</v>
      </c>
      <c r="D18">
        <f t="shared" si="1"/>
        <v>12.517209109588396</v>
      </c>
      <c r="E18">
        <v>18</v>
      </c>
      <c r="G18">
        <f t="shared" si="2"/>
        <v>6.3478260873999997</v>
      </c>
      <c r="H18">
        <f t="shared" si="3"/>
        <v>17.48102926378149</v>
      </c>
      <c r="I18">
        <v>18</v>
      </c>
      <c r="K18">
        <f t="shared" si="4"/>
        <v>5.2727272734999993</v>
      </c>
      <c r="L18">
        <f t="shared" si="5"/>
        <v>4.7634651641933292</v>
      </c>
      <c r="M18">
        <v>18</v>
      </c>
      <c r="O18">
        <f t="shared" si="6"/>
        <v>5.2727272734999993</v>
      </c>
      <c r="P18">
        <f t="shared" si="7"/>
        <v>21.092349514710996</v>
      </c>
      <c r="Q18">
        <v>18</v>
      </c>
      <c r="S18">
        <f t="shared" si="8"/>
        <v>17.130261874399999</v>
      </c>
      <c r="T18">
        <f t="shared" si="9"/>
        <v>9.1991763090770409</v>
      </c>
      <c r="U18">
        <v>18</v>
      </c>
      <c r="W18">
        <f t="shared" si="10"/>
        <v>16.248178766700001</v>
      </c>
      <c r="X18">
        <f t="shared" si="11"/>
        <v>24.216129912632002</v>
      </c>
    </row>
    <row r="19" spans="1:24" x14ac:dyDescent="0.25">
      <c r="A19">
        <v>19</v>
      </c>
      <c r="C19">
        <f t="shared" si="0"/>
        <v>6.5565217396</v>
      </c>
      <c r="D19">
        <f t="shared" si="1"/>
        <v>12.99077888354917</v>
      </c>
      <c r="E19">
        <v>19</v>
      </c>
      <c r="G19">
        <f t="shared" si="2"/>
        <v>6.5565217396</v>
      </c>
      <c r="H19">
        <f t="shared" si="3"/>
        <v>17.811577030857865</v>
      </c>
      <c r="I19">
        <v>19</v>
      </c>
      <c r="K19">
        <f t="shared" si="4"/>
        <v>5.418181819</v>
      </c>
      <c r="L19">
        <f t="shared" si="5"/>
        <v>5.0636992774684781</v>
      </c>
      <c r="M19">
        <v>19</v>
      </c>
      <c r="O19">
        <f t="shared" si="6"/>
        <v>5.418181819</v>
      </c>
      <c r="P19">
        <f t="shared" si="7"/>
        <v>21.352560960445608</v>
      </c>
      <c r="Q19">
        <v>19</v>
      </c>
      <c r="S19">
        <f t="shared" si="8"/>
        <v>17.576087699600002</v>
      </c>
      <c r="T19">
        <f t="shared" si="9"/>
        <v>9.6611169994417629</v>
      </c>
      <c r="U19">
        <v>19</v>
      </c>
      <c r="W19">
        <f t="shared" si="10"/>
        <v>16.7109677286</v>
      </c>
      <c r="X19">
        <f t="shared" si="11"/>
        <v>24.658755475790429</v>
      </c>
    </row>
    <row r="20" spans="1:24" x14ac:dyDescent="0.25">
      <c r="A20">
        <v>20</v>
      </c>
      <c r="C20">
        <f t="shared" si="0"/>
        <v>6.7652173918000003</v>
      </c>
      <c r="D20">
        <f t="shared" si="1"/>
        <v>13.461763353740292</v>
      </c>
      <c r="E20">
        <v>20</v>
      </c>
      <c r="G20">
        <f t="shared" si="2"/>
        <v>6.7652173918000003</v>
      </c>
      <c r="H20">
        <f t="shared" si="3"/>
        <v>18.144710101703897</v>
      </c>
      <c r="I20">
        <v>20</v>
      </c>
      <c r="K20">
        <f t="shared" si="4"/>
        <v>5.5636363644999998</v>
      </c>
      <c r="L20">
        <f t="shared" si="5"/>
        <v>5.3633152040830154</v>
      </c>
      <c r="M20">
        <v>20</v>
      </c>
      <c r="O20">
        <f t="shared" si="6"/>
        <v>5.5636363644999998</v>
      </c>
      <c r="P20">
        <f t="shared" si="7"/>
        <v>21.613390592840837</v>
      </c>
      <c r="Q20">
        <v>20</v>
      </c>
      <c r="S20">
        <f t="shared" si="8"/>
        <v>18.021913524799999</v>
      </c>
      <c r="T20">
        <f t="shared" si="9"/>
        <v>10.121352936993649</v>
      </c>
      <c r="U20">
        <v>20</v>
      </c>
      <c r="W20">
        <f t="shared" si="10"/>
        <v>17.173756690499999</v>
      </c>
      <c r="X20">
        <f t="shared" si="11"/>
        <v>25.103195324507411</v>
      </c>
    </row>
    <row r="21" spans="1:24" x14ac:dyDescent="0.25">
      <c r="A21">
        <v>21</v>
      </c>
      <c r="C21">
        <f t="shared" si="0"/>
        <v>6.9739130439999997</v>
      </c>
      <c r="D21">
        <f t="shared" si="1"/>
        <v>13.929927565099005</v>
      </c>
      <c r="E21">
        <v>21</v>
      </c>
      <c r="G21">
        <f t="shared" si="2"/>
        <v>6.9739130439999997</v>
      </c>
      <c r="H21">
        <f t="shared" si="3"/>
        <v>18.480663431382329</v>
      </c>
      <c r="I21">
        <v>21</v>
      </c>
      <c r="K21">
        <f t="shared" si="4"/>
        <v>5.7090909100000005</v>
      </c>
      <c r="L21">
        <f t="shared" si="5"/>
        <v>5.6623085072519643</v>
      </c>
      <c r="M21">
        <v>21</v>
      </c>
      <c r="O21">
        <f t="shared" si="6"/>
        <v>5.7090909100000005</v>
      </c>
      <c r="P21">
        <f t="shared" si="7"/>
        <v>21.874842848681652</v>
      </c>
      <c r="Q21">
        <v>21</v>
      </c>
      <c r="S21">
        <f t="shared" si="8"/>
        <v>18.467739350000002</v>
      </c>
      <c r="T21">
        <f t="shared" si="9"/>
        <v>10.579874778635897</v>
      </c>
      <c r="U21">
        <v>21</v>
      </c>
      <c r="W21">
        <f t="shared" si="10"/>
        <v>17.636545652400002</v>
      </c>
      <c r="X21">
        <f t="shared" si="11"/>
        <v>25.549462080131061</v>
      </c>
    </row>
    <row r="22" spans="1:24" x14ac:dyDescent="0.25">
      <c r="A22">
        <v>22</v>
      </c>
      <c r="C22">
        <f t="shared" si="0"/>
        <v>7.1826086962</v>
      </c>
      <c r="D22">
        <f t="shared" si="1"/>
        <v>14.395018691911863</v>
      </c>
      <c r="E22">
        <v>22</v>
      </c>
      <c r="G22">
        <f t="shared" si="2"/>
        <v>7.1826086962</v>
      </c>
      <c r="H22">
        <f t="shared" si="3"/>
        <v>18.819689845606622</v>
      </c>
      <c r="I22">
        <v>22</v>
      </c>
      <c r="K22">
        <f t="shared" si="4"/>
        <v>5.8545454555000003</v>
      </c>
      <c r="L22">
        <f t="shared" si="5"/>
        <v>5.960674852111584</v>
      </c>
      <c r="M22">
        <v>22</v>
      </c>
      <c r="O22">
        <f t="shared" si="6"/>
        <v>5.8545454555000003</v>
      </c>
      <c r="P22">
        <f t="shared" si="7"/>
        <v>22.136922062831797</v>
      </c>
      <c r="Q22">
        <v>22</v>
      </c>
      <c r="S22">
        <f t="shared" si="8"/>
        <v>18.913565175199999</v>
      </c>
      <c r="T22">
        <f t="shared" si="9"/>
        <v>11.036674235996294</v>
      </c>
      <c r="U22">
        <v>22</v>
      </c>
      <c r="W22">
        <f t="shared" si="10"/>
        <v>18.099334614299998</v>
      </c>
      <c r="X22">
        <f t="shared" si="11"/>
        <v>25.997567207715477</v>
      </c>
    </row>
    <row r="23" spans="1:24" x14ac:dyDescent="0.25">
      <c r="A23">
        <v>23</v>
      </c>
      <c r="C23">
        <f t="shared" si="0"/>
        <v>7.3913043483999994</v>
      </c>
      <c r="D23">
        <f t="shared" si="1"/>
        <v>14.85676676519758</v>
      </c>
      <c r="E23">
        <v>23</v>
      </c>
      <c r="G23">
        <f t="shared" si="2"/>
        <v>7.3913043483999994</v>
      </c>
      <c r="H23">
        <f t="shared" si="3"/>
        <v>19.162059313358053</v>
      </c>
      <c r="I23">
        <v>23</v>
      </c>
      <c r="K23">
        <f t="shared" si="4"/>
        <v>6.0000000010000001</v>
      </c>
      <c r="L23">
        <f t="shared" si="5"/>
        <v>6.2584100102601905</v>
      </c>
      <c r="M23">
        <v>23</v>
      </c>
      <c r="O23">
        <f t="shared" si="6"/>
        <v>6.0000000010000001</v>
      </c>
      <c r="P23">
        <f t="shared" si="7"/>
        <v>22.399632463692953</v>
      </c>
      <c r="Q23">
        <v>23</v>
      </c>
      <c r="S23">
        <f t="shared" si="8"/>
        <v>19.359391000400002</v>
      </c>
      <c r="T23">
        <f t="shared" si="9"/>
        <v>11.491744102032982</v>
      </c>
      <c r="U23">
        <v>23</v>
      </c>
      <c r="W23">
        <f t="shared" si="10"/>
        <v>18.562123576200001</v>
      </c>
      <c r="X23">
        <f t="shared" si="11"/>
        <v>26.447520977269455</v>
      </c>
    </row>
    <row r="24" spans="1:24" x14ac:dyDescent="0.25">
      <c r="A24">
        <v>24</v>
      </c>
      <c r="C24">
        <f t="shared" si="0"/>
        <v>7.6000000005999997</v>
      </c>
      <c r="D24">
        <f t="shared" si="1"/>
        <v>15.314886237645789</v>
      </c>
      <c r="E24">
        <v>24</v>
      </c>
      <c r="G24">
        <f t="shared" si="2"/>
        <v>7.6000000005999997</v>
      </c>
      <c r="H24">
        <f t="shared" si="3"/>
        <v>19.508057381946994</v>
      </c>
      <c r="I24">
        <v>24</v>
      </c>
      <c r="K24">
        <f t="shared" si="4"/>
        <v>6.1454545464999999</v>
      </c>
      <c r="L24">
        <f t="shared" si="5"/>
        <v>6.5555098642598448</v>
      </c>
      <c r="M24">
        <v>24</v>
      </c>
      <c r="O24">
        <f t="shared" si="6"/>
        <v>6.1454545464999999</v>
      </c>
      <c r="P24">
        <f t="shared" si="7"/>
        <v>22.662978168703063</v>
      </c>
      <c r="Q24">
        <v>24</v>
      </c>
      <c r="S24">
        <f t="shared" si="8"/>
        <v>19.805216825599999</v>
      </c>
      <c r="T24">
        <f t="shared" si="9"/>
        <v>11.9450782744035</v>
      </c>
      <c r="U24">
        <v>24</v>
      </c>
      <c r="W24">
        <f t="shared" si="10"/>
        <v>19.024912538100001</v>
      </c>
      <c r="X24">
        <f t="shared" si="11"/>
        <v>26.899332428578468</v>
      </c>
    </row>
    <row r="25" spans="1:24" x14ac:dyDescent="0.25">
      <c r="A25">
        <v>25</v>
      </c>
      <c r="C25">
        <f t="shared" si="0"/>
        <v>7.8086956528</v>
      </c>
      <c r="D25">
        <f t="shared" si="1"/>
        <v>15.769078589022374</v>
      </c>
      <c r="E25">
        <v>25</v>
      </c>
      <c r="G25">
        <f t="shared" si="2"/>
        <v>7.8086956528</v>
      </c>
      <c r="H25">
        <f t="shared" si="3"/>
        <v>19.857982571607561</v>
      </c>
      <c r="I25">
        <v>25</v>
      </c>
      <c r="K25">
        <f t="shared" si="4"/>
        <v>6.2909090919999997</v>
      </c>
      <c r="L25">
        <f t="shared" si="5"/>
        <v>6.8519704120889173</v>
      </c>
      <c r="M25">
        <v>25</v>
      </c>
      <c r="O25">
        <f t="shared" si="6"/>
        <v>6.2909090919999997</v>
      </c>
      <c r="P25">
        <f t="shared" si="7"/>
        <v>22.926963179883749</v>
      </c>
      <c r="Q25">
        <v>25</v>
      </c>
      <c r="S25">
        <f t="shared" si="8"/>
        <v>20.251042650800002</v>
      </c>
      <c r="T25">
        <f t="shared" si="9"/>
        <v>12.396671775422845</v>
      </c>
      <c r="U25">
        <v>25</v>
      </c>
      <c r="W25">
        <f t="shared" si="10"/>
        <v>19.4877015</v>
      </c>
      <c r="X25">
        <f t="shared" si="11"/>
        <v>27.353009339875104</v>
      </c>
    </row>
    <row r="26" spans="1:24" x14ac:dyDescent="0.25">
      <c r="A26">
        <v>26</v>
      </c>
      <c r="C26">
        <f t="shared" si="0"/>
        <v>8.0173913050000003</v>
      </c>
      <c r="D26">
        <f t="shared" si="1"/>
        <v>16.219036163121757</v>
      </c>
      <c r="E26">
        <v>26</v>
      </c>
      <c r="G26">
        <f t="shared" si="2"/>
        <v>8.0173913050000003</v>
      </c>
      <c r="H26">
        <f t="shared" si="3"/>
        <v>20.212142538545322</v>
      </c>
      <c r="I26">
        <v>26</v>
      </c>
      <c r="K26">
        <f t="shared" si="4"/>
        <v>6.4363636374999995</v>
      </c>
      <c r="L26">
        <f t="shared" si="5"/>
        <v>7.1477877715353504</v>
      </c>
      <c r="M26">
        <v>26</v>
      </c>
      <c r="O26">
        <f t="shared" si="6"/>
        <v>6.4363636374999995</v>
      </c>
      <c r="P26">
        <f t="shared" si="7"/>
        <v>23.191591379447082</v>
      </c>
      <c r="Q26">
        <v>26</v>
      </c>
      <c r="S26">
        <f t="shared" si="8"/>
        <v>20.696868475999999</v>
      </c>
      <c r="T26">
        <f t="shared" si="9"/>
        <v>12.846520768459467</v>
      </c>
      <c r="U26">
        <v>26</v>
      </c>
      <c r="W26">
        <f t="shared" si="10"/>
        <v>19.950490461900003</v>
      </c>
      <c r="X26">
        <f t="shared" si="11"/>
        <v>27.808558200606914</v>
      </c>
    </row>
    <row r="27" spans="1:24" x14ac:dyDescent="0.25">
      <c r="A27">
        <v>27</v>
      </c>
      <c r="C27">
        <f t="shared" si="0"/>
        <v>8.2260869571999997</v>
      </c>
      <c r="D27">
        <f t="shared" si="1"/>
        <v>16.664447383758681</v>
      </c>
      <c r="E27">
        <v>27</v>
      </c>
      <c r="G27">
        <f t="shared" si="2"/>
        <v>8.2260869571999997</v>
      </c>
      <c r="H27">
        <f t="shared" si="3"/>
        <v>20.570848858945549</v>
      </c>
      <c r="I27">
        <v>27</v>
      </c>
      <c r="K27">
        <f t="shared" si="4"/>
        <v>6.5818181829999993</v>
      </c>
      <c r="L27">
        <f t="shared" si="5"/>
        <v>7.4429581845203003</v>
      </c>
      <c r="M27">
        <v>27</v>
      </c>
      <c r="O27">
        <f t="shared" si="6"/>
        <v>6.5818181829999993</v>
      </c>
      <c r="P27">
        <f t="shared" si="7"/>
        <v>23.456866525471895</v>
      </c>
      <c r="Q27">
        <v>27</v>
      </c>
      <c r="S27">
        <f t="shared" si="8"/>
        <v>21.142694301200002</v>
      </c>
      <c r="T27">
        <f t="shared" si="9"/>
        <v>13.294622570644322</v>
      </c>
      <c r="U27">
        <v>27</v>
      </c>
      <c r="W27">
        <f t="shared" si="10"/>
        <v>20.413279423799999</v>
      </c>
      <c r="X27">
        <f t="shared" si="11"/>
        <v>28.2659841885215</v>
      </c>
    </row>
    <row r="28" spans="1:24" x14ac:dyDescent="0.25">
      <c r="A28">
        <v>28</v>
      </c>
      <c r="C28">
        <f t="shared" si="0"/>
        <v>8.4347826093999991</v>
      </c>
      <c r="D28">
        <f t="shared" si="1"/>
        <v>17.105003412315533</v>
      </c>
      <c r="E28">
        <v>28</v>
      </c>
      <c r="G28">
        <f t="shared" si="2"/>
        <v>8.4347826093999991</v>
      </c>
      <c r="H28">
        <f t="shared" si="3"/>
        <v>20.934410371425848</v>
      </c>
      <c r="I28">
        <v>28</v>
      </c>
      <c r="K28">
        <f t="shared" si="4"/>
        <v>6.7272727285</v>
      </c>
      <c r="L28">
        <f t="shared" si="5"/>
        <v>7.7374780213419152</v>
      </c>
      <c r="M28">
        <v>28</v>
      </c>
      <c r="O28">
        <f t="shared" si="6"/>
        <v>6.7272727285</v>
      </c>
      <c r="P28">
        <f t="shared" si="7"/>
        <v>23.722792247660045</v>
      </c>
      <c r="Q28">
        <v>28</v>
      </c>
      <c r="S28">
        <f t="shared" si="8"/>
        <v>21.588520126399999</v>
      </c>
      <c r="T28">
        <f t="shared" si="9"/>
        <v>13.740975661794911</v>
      </c>
      <c r="U28">
        <v>28</v>
      </c>
      <c r="W28">
        <f t="shared" si="10"/>
        <v>20.876068385700002</v>
      </c>
      <c r="X28">
        <f t="shared" si="11"/>
        <v>28.725291151255895</v>
      </c>
    </row>
    <row r="29" spans="1:24" x14ac:dyDescent="0.25">
      <c r="A29">
        <v>29</v>
      </c>
      <c r="C29">
        <f t="shared" si="0"/>
        <v>8.6434782615999985</v>
      </c>
      <c r="D29">
        <f t="shared" si="1"/>
        <v>17.540406177543964</v>
      </c>
      <c r="E29">
        <v>29</v>
      </c>
      <c r="G29">
        <f t="shared" si="2"/>
        <v>8.6434782615999985</v>
      </c>
      <c r="H29">
        <f t="shared" si="3"/>
        <v>21.30312514723456</v>
      </c>
      <c r="I29">
        <v>29</v>
      </c>
      <c r="K29">
        <f t="shared" si="4"/>
        <v>6.8727272739999998</v>
      </c>
      <c r="L29">
        <f t="shared" si="5"/>
        <v>8.031343784828767</v>
      </c>
      <c r="M29">
        <v>29</v>
      </c>
      <c r="O29">
        <f t="shared" si="6"/>
        <v>6.8727272739999998</v>
      </c>
      <c r="P29">
        <f t="shared" si="7"/>
        <v>23.989372043182957</v>
      </c>
      <c r="Q29">
        <v>29</v>
      </c>
      <c r="S29">
        <f t="shared" si="8"/>
        <v>22.034345951600002</v>
      </c>
      <c r="T29">
        <f t="shared" si="9"/>
        <v>14.185579689485486</v>
      </c>
      <c r="U29">
        <v>29</v>
      </c>
      <c r="W29">
        <f t="shared" si="10"/>
        <v>21.338857347600001</v>
      </c>
      <c r="X29">
        <f t="shared" si="11"/>
        <v>29.186481592582034</v>
      </c>
    </row>
    <row r="30" spans="1:24" x14ac:dyDescent="0.25">
      <c r="A30">
        <v>30</v>
      </c>
      <c r="C30">
        <f t="shared" si="0"/>
        <v>8.8521739137999997</v>
      </c>
      <c r="D30">
        <f t="shared" si="1"/>
        <v>17.970377532906184</v>
      </c>
      <c r="E30">
        <v>30</v>
      </c>
      <c r="G30">
        <f t="shared" si="2"/>
        <v>8.8521739137999997</v>
      </c>
      <c r="H30">
        <f t="shared" si="3"/>
        <v>21.677271332909491</v>
      </c>
      <c r="I30">
        <v>30</v>
      </c>
      <c r="K30">
        <f t="shared" si="4"/>
        <v>7.0181818194999996</v>
      </c>
      <c r="L30">
        <f t="shared" si="5"/>
        <v>8.3245521143926489</v>
      </c>
      <c r="M30">
        <v>30</v>
      </c>
      <c r="O30">
        <f t="shared" si="6"/>
        <v>7.0181818194999996</v>
      </c>
      <c r="P30">
        <f t="shared" si="7"/>
        <v>24.25660927262884</v>
      </c>
      <c r="Q30">
        <v>30</v>
      </c>
      <c r="S30">
        <f t="shared" si="8"/>
        <v>22.480171776799999</v>
      </c>
      <c r="T30">
        <f t="shared" si="9"/>
        <v>14.628435470223815</v>
      </c>
      <c r="U30">
        <v>30</v>
      </c>
      <c r="W30">
        <f t="shared" si="10"/>
        <v>21.801646309500001</v>
      </c>
      <c r="X30">
        <f t="shared" si="11"/>
        <v>29.649556663422661</v>
      </c>
    </row>
    <row r="31" spans="1:24" x14ac:dyDescent="0.25">
      <c r="A31">
        <v>31</v>
      </c>
      <c r="C31">
        <f t="shared" si="0"/>
        <v>9.0608695660000009</v>
      </c>
      <c r="D31">
        <f t="shared" si="1"/>
        <v>18.39466909405915</v>
      </c>
      <c r="E31">
        <v>31</v>
      </c>
      <c r="G31">
        <f t="shared" si="2"/>
        <v>9.0608695660000009</v>
      </c>
      <c r="H31">
        <f t="shared" si="3"/>
        <v>22.057097312793683</v>
      </c>
      <c r="I31">
        <v>31</v>
      </c>
      <c r="K31">
        <f t="shared" si="4"/>
        <v>7.1636363650000003</v>
      </c>
      <c r="L31">
        <f t="shared" si="5"/>
        <v>8.617099789970359</v>
      </c>
      <c r="M31">
        <v>31</v>
      </c>
      <c r="O31">
        <f t="shared" si="6"/>
        <v>7.1636363650000003</v>
      </c>
      <c r="P31">
        <f t="shared" si="7"/>
        <v>24.524507156060892</v>
      </c>
      <c r="Q31">
        <v>31</v>
      </c>
      <c r="S31">
        <f t="shared" si="8"/>
        <v>22.925997602000002</v>
      </c>
      <c r="T31">
        <f t="shared" si="9"/>
        <v>15.069544986725571</v>
      </c>
      <c r="U31">
        <v>31</v>
      </c>
      <c r="W31">
        <f t="shared" si="10"/>
        <v>22.2644352714</v>
      </c>
      <c r="X31">
        <f t="shared" si="11"/>
        <v>30.114516157712636</v>
      </c>
    </row>
    <row r="32" spans="1:24" x14ac:dyDescent="0.25">
      <c r="A32">
        <v>32</v>
      </c>
      <c r="C32">
        <f t="shared" si="0"/>
        <v>9.2695652182000003</v>
      </c>
      <c r="D32">
        <f t="shared" si="1"/>
        <v>18.813072110600125</v>
      </c>
      <c r="E32">
        <v>32</v>
      </c>
      <c r="G32">
        <f t="shared" si="2"/>
        <v>9.2695652182000003</v>
      </c>
      <c r="H32">
        <f t="shared" si="3"/>
        <v>22.442811837289852</v>
      </c>
      <c r="I32">
        <v>32</v>
      </c>
      <c r="K32">
        <f t="shared" si="4"/>
        <v>7.3090909105000001</v>
      </c>
      <c r="L32">
        <f t="shared" si="5"/>
        <v>8.908983735844302</v>
      </c>
      <c r="M32">
        <v>32</v>
      </c>
      <c r="O32">
        <f t="shared" si="6"/>
        <v>7.3090909105000001</v>
      </c>
      <c r="P32">
        <f t="shared" si="7"/>
        <v>24.793068769196715</v>
      </c>
      <c r="Q32">
        <v>32</v>
      </c>
      <c r="S32">
        <f t="shared" si="8"/>
        <v>23.371823427199999</v>
      </c>
      <c r="T32">
        <f t="shared" si="9"/>
        <v>15.508911381307284</v>
      </c>
      <c r="U32">
        <v>32</v>
      </c>
      <c r="W32">
        <f t="shared" si="10"/>
        <v>22.727224233299999</v>
      </c>
      <c r="X32">
        <f t="shared" si="11"/>
        <v>30.581358513140341</v>
      </c>
    </row>
    <row r="33" spans="1:24" x14ac:dyDescent="0.25">
      <c r="A33">
        <v>33</v>
      </c>
      <c r="C33">
        <f t="shared" ref="C33:C64" si="12">2.8+(A33-1)*0.2086956522</f>
        <v>9.4782608703999998</v>
      </c>
      <c r="D33">
        <f t="shared" ref="D33:D64" si="13">2.76983158408592+1.92653160849402*C33-7.63820533294699*(0.0555555555555556+(C33-9.72222222222222)^2/227.611111111111)^0.5</f>
        <v>19.225426575657892</v>
      </c>
      <c r="E33">
        <v>33</v>
      </c>
      <c r="G33">
        <f t="shared" ref="G33:G64" si="14">2.8+(E33-1)*0.2086956522</f>
        <v>9.4782608703999998</v>
      </c>
      <c r="H33">
        <f t="shared" ref="H33:H64" si="15">2.76983158408592+1.92653160849402*G33+7.63820533294699*(0.0555555555555556+(G33-9.72222222222222)^2/227.611111111111)^0.5</f>
        <v>22.834574913269236</v>
      </c>
      <c r="I33">
        <v>33</v>
      </c>
      <c r="K33">
        <f t="shared" ref="K33:K64" si="16">2.8+(I33-1)*0.1454545455</f>
        <v>7.454545456</v>
      </c>
      <c r="L33">
        <f t="shared" ref="L33:L64" si="17">2.76983158408592+1.92653160849402*K33-7.63820533294699*(1.05555555555556+(K33-9.72222222222222)^2/227.611111111111)^0.5</f>
        <v>9.2002010243318111</v>
      </c>
      <c r="M33">
        <v>33</v>
      </c>
      <c r="O33">
        <f t="shared" ref="O33:O64" si="18">2.8+(M33-1)*0.1454545455</f>
        <v>7.454545456</v>
      </c>
      <c r="P33">
        <f t="shared" ref="P33:P64" si="19">2.76983158408592+1.92653160849402*O33+7.63820533294699*(1.05555555555556+(O33-9.72222222222222)^2/227.611111111111)^0.5</f>
        <v>25.062297039718963</v>
      </c>
      <c r="Q33">
        <v>33</v>
      </c>
      <c r="S33">
        <f t="shared" ref="S33:S64" si="20">9.551222846+(Q33-1)*0.4458258252</f>
        <v>23.817649252400003</v>
      </c>
      <c r="T33">
        <f t="shared" ref="T33:T64" si="21">0+1*S33-7.63820533294699*(1.05555555555556+(S33-21.5)^2/844.784110324628)^0.5</f>
        <v>15.946538945449435</v>
      </c>
      <c r="U33">
        <v>33</v>
      </c>
      <c r="W33">
        <f t="shared" ref="W33:W64" si="22">8.3807664144+(U33-1)*0.4627889619</f>
        <v>23.190013195200002</v>
      </c>
      <c r="X33">
        <f t="shared" ref="X33:X64" si="23">0+1*W33+7.63820533294699*(1.05555555555556+(W33-21.5)^2/844.784110324628)^0.5</f>
        <v>31.05008081676301</v>
      </c>
    </row>
    <row r="34" spans="1:24" x14ac:dyDescent="0.25">
      <c r="A34">
        <v>34</v>
      </c>
      <c r="C34">
        <f t="shared" si="12"/>
        <v>9.6869565225999992</v>
      </c>
      <c r="D34">
        <f t="shared" si="13"/>
        <v>19.631628721012088</v>
      </c>
      <c r="E34">
        <v>34</v>
      </c>
      <c r="G34">
        <f t="shared" si="14"/>
        <v>9.6869565225999992</v>
      </c>
      <c r="H34">
        <f t="shared" si="15"/>
        <v>23.232490308952183</v>
      </c>
      <c r="I34">
        <v>34</v>
      </c>
      <c r="K34">
        <f t="shared" si="16"/>
        <v>7.6000000014999998</v>
      </c>
      <c r="L34">
        <f t="shared" si="17"/>
        <v>9.4907488793332959</v>
      </c>
      <c r="M34">
        <v>34</v>
      </c>
      <c r="O34">
        <f t="shared" si="18"/>
        <v>7.6000000014999998</v>
      </c>
      <c r="P34">
        <f t="shared" si="19"/>
        <v>25.332194743727243</v>
      </c>
      <c r="Q34">
        <v>34</v>
      </c>
      <c r="S34">
        <f t="shared" si="20"/>
        <v>24.263475077599999</v>
      </c>
      <c r="T34">
        <f t="shared" si="21"/>
        <v>16.382433105609969</v>
      </c>
      <c r="U34">
        <v>34</v>
      </c>
      <c r="W34">
        <f t="shared" si="22"/>
        <v>23.652802157099998</v>
      </c>
      <c r="X34">
        <f t="shared" si="23"/>
        <v>31.520678815448864</v>
      </c>
    </row>
    <row r="35" spans="1:24" x14ac:dyDescent="0.25">
      <c r="A35">
        <v>35</v>
      </c>
      <c r="C35">
        <f t="shared" si="12"/>
        <v>9.8956521747999986</v>
      </c>
      <c r="D35">
        <f t="shared" si="13"/>
        <v>20.031636119058508</v>
      </c>
      <c r="E35">
        <v>35</v>
      </c>
      <c r="G35">
        <f t="shared" si="14"/>
        <v>9.8956521747999986</v>
      </c>
      <c r="H35">
        <f t="shared" si="15"/>
        <v>23.636600451942915</v>
      </c>
      <c r="I35">
        <v>35</v>
      </c>
      <c r="K35">
        <f t="shared" si="16"/>
        <v>7.7454545469999996</v>
      </c>
      <c r="L35">
        <f t="shared" si="17"/>
        <v>9.7806246797295486</v>
      </c>
      <c r="M35">
        <v>35</v>
      </c>
      <c r="O35">
        <f t="shared" si="18"/>
        <v>7.7454545469999996</v>
      </c>
      <c r="P35">
        <f t="shared" si="19"/>
        <v>25.602764502340754</v>
      </c>
      <c r="Q35">
        <v>35</v>
      </c>
      <c r="S35">
        <f t="shared" si="20"/>
        <v>24.709300902800003</v>
      </c>
      <c r="T35">
        <f t="shared" si="21"/>
        <v>16.816600405397356</v>
      </c>
      <c r="U35">
        <v>35</v>
      </c>
      <c r="W35">
        <f t="shared" si="22"/>
        <v>24.115591119000001</v>
      </c>
      <c r="X35">
        <f t="shared" si="23"/>
        <v>31.993146931059123</v>
      </c>
    </row>
    <row r="36" spans="1:24" x14ac:dyDescent="0.25">
      <c r="A36">
        <v>36</v>
      </c>
      <c r="C36">
        <f t="shared" si="12"/>
        <v>10.104347827</v>
      </c>
      <c r="D36">
        <f t="shared" si="13"/>
        <v>20.425469823990767</v>
      </c>
      <c r="E36">
        <v>36</v>
      </c>
      <c r="G36">
        <f t="shared" si="14"/>
        <v>10.104347827</v>
      </c>
      <c r="H36">
        <f t="shared" si="15"/>
        <v>24.046884288047806</v>
      </c>
      <c r="I36">
        <v>36</v>
      </c>
      <c r="K36">
        <f t="shared" si="16"/>
        <v>7.8909090925000003</v>
      </c>
      <c r="L36">
        <f t="shared" si="17"/>
        <v>10.069825962618854</v>
      </c>
      <c r="M36">
        <v>36</v>
      </c>
      <c r="O36">
        <f t="shared" si="18"/>
        <v>7.8909090925000003</v>
      </c>
      <c r="P36">
        <f t="shared" si="19"/>
        <v>25.874008778461214</v>
      </c>
      <c r="Q36">
        <v>36</v>
      </c>
      <c r="S36">
        <f t="shared" si="20"/>
        <v>25.155126727999999</v>
      </c>
      <c r="T36">
        <f t="shared" si="21"/>
        <v>17.249048484238571</v>
      </c>
      <c r="U36">
        <v>36</v>
      </c>
      <c r="W36">
        <f t="shared" si="22"/>
        <v>24.578380080900001</v>
      </c>
      <c r="X36">
        <f t="shared" si="23"/>
        <v>32.46747828024381</v>
      </c>
    </row>
    <row r="37" spans="1:24" x14ac:dyDescent="0.25">
      <c r="A37">
        <v>37</v>
      </c>
      <c r="C37">
        <f t="shared" si="12"/>
        <v>10.313043479200001</v>
      </c>
      <c r="D37">
        <f t="shared" si="13"/>
        <v>20.813213305249363</v>
      </c>
      <c r="E37">
        <v>37</v>
      </c>
      <c r="G37">
        <f t="shared" si="14"/>
        <v>10.313043479200001</v>
      </c>
      <c r="H37">
        <f t="shared" si="15"/>
        <v>24.463258347826361</v>
      </c>
      <c r="I37">
        <v>37</v>
      </c>
      <c r="K37">
        <f t="shared" si="16"/>
        <v>8.036363638000001</v>
      </c>
      <c r="L37">
        <f t="shared" si="17"/>
        <v>10.358350426384828</v>
      </c>
      <c r="M37">
        <v>37</v>
      </c>
      <c r="O37">
        <f t="shared" si="18"/>
        <v>8.036363638000001</v>
      </c>
      <c r="P37">
        <f t="shared" si="19"/>
        <v>26.145929873705004</v>
      </c>
      <c r="Q37">
        <v>37</v>
      </c>
      <c r="S37">
        <f t="shared" si="20"/>
        <v>25.600952553200003</v>
      </c>
      <c r="T37">
        <f t="shared" si="21"/>
        <v>17.679786052702614</v>
      </c>
      <c r="U37">
        <v>37</v>
      </c>
      <c r="W37">
        <f t="shared" si="22"/>
        <v>25.0411690428</v>
      </c>
      <c r="X37">
        <f t="shared" si="23"/>
        <v>32.943664698688771</v>
      </c>
    </row>
    <row r="38" spans="1:24" x14ac:dyDescent="0.25">
      <c r="A38">
        <v>38</v>
      </c>
      <c r="C38">
        <f t="shared" si="12"/>
        <v>10.5217391314</v>
      </c>
      <c r="D38">
        <f t="shared" si="13"/>
        <v>21.195008296881934</v>
      </c>
      <c r="E38">
        <v>38</v>
      </c>
      <c r="G38">
        <f t="shared" si="14"/>
        <v>10.5217391314</v>
      </c>
      <c r="H38">
        <f t="shared" si="15"/>
        <v>24.885580897230941</v>
      </c>
      <c r="I38">
        <v>38</v>
      </c>
      <c r="K38">
        <f t="shared" si="16"/>
        <v>8.181818183499999</v>
      </c>
      <c r="L38">
        <f t="shared" si="17"/>
        <v>10.646195933586252</v>
      </c>
      <c r="M38">
        <v>38</v>
      </c>
      <c r="O38">
        <f t="shared" si="18"/>
        <v>8.181818183499999</v>
      </c>
      <c r="P38">
        <f t="shared" si="19"/>
        <v>26.418529925513337</v>
      </c>
      <c r="Q38">
        <v>38</v>
      </c>
      <c r="S38">
        <f t="shared" si="20"/>
        <v>26.046778378399999</v>
      </c>
      <c r="T38">
        <f t="shared" si="21"/>
        <v>18.108822864662685</v>
      </c>
      <c r="U38">
        <v>38</v>
      </c>
      <c r="W38">
        <f t="shared" si="22"/>
        <v>25.503958004699999</v>
      </c>
      <c r="X38">
        <f t="shared" si="23"/>
        <v>33.421696769616389</v>
      </c>
    </row>
    <row r="39" spans="1:24" x14ac:dyDescent="0.25">
      <c r="A39">
        <v>39</v>
      </c>
      <c r="C39">
        <f t="shared" si="12"/>
        <v>10.7304347836</v>
      </c>
      <c r="D39">
        <f t="shared" si="13"/>
        <v>21.571048031900251</v>
      </c>
      <c r="E39">
        <v>39</v>
      </c>
      <c r="G39">
        <f t="shared" si="14"/>
        <v>10.7304347836</v>
      </c>
      <c r="H39">
        <f t="shared" si="15"/>
        <v>25.313658703249768</v>
      </c>
      <c r="I39">
        <v>39</v>
      </c>
      <c r="K39">
        <f t="shared" si="16"/>
        <v>8.3272727290000006</v>
      </c>
      <c r="L39">
        <f t="shared" si="17"/>
        <v>10.933360513660741</v>
      </c>
      <c r="M39">
        <v>39</v>
      </c>
      <c r="O39">
        <f t="shared" si="18"/>
        <v>8.3272727290000006</v>
      </c>
      <c r="P39">
        <f t="shared" si="19"/>
        <v>26.691810904448619</v>
      </c>
      <c r="Q39">
        <v>39</v>
      </c>
      <c r="S39">
        <f t="shared" si="20"/>
        <v>26.492604203600003</v>
      </c>
      <c r="T39">
        <f t="shared" si="21"/>
        <v>18.536169686500671</v>
      </c>
      <c r="U39">
        <v>39</v>
      </c>
      <c r="W39">
        <f t="shared" si="22"/>
        <v>25.966746966600002</v>
      </c>
      <c r="X39">
        <f t="shared" si="23"/>
        <v>33.901563856311213</v>
      </c>
    </row>
    <row r="40" spans="1:24" x14ac:dyDescent="0.25">
      <c r="A40">
        <v>40</v>
      </c>
      <c r="C40">
        <f t="shared" si="12"/>
        <v>10.939130435799999</v>
      </c>
      <c r="D40">
        <f t="shared" si="13"/>
        <v>21.941568583738793</v>
      </c>
      <c r="E40">
        <v>40</v>
      </c>
      <c r="G40">
        <f t="shared" si="14"/>
        <v>10.939130435799999</v>
      </c>
      <c r="H40">
        <f t="shared" si="15"/>
        <v>25.747255692448377</v>
      </c>
      <c r="I40">
        <v>40</v>
      </c>
      <c r="K40">
        <f t="shared" si="16"/>
        <v>8.4727272745000004</v>
      </c>
      <c r="L40">
        <f t="shared" si="17"/>
        <v>11.219842365434189</v>
      </c>
      <c r="M40">
        <v>40</v>
      </c>
      <c r="O40">
        <f t="shared" si="18"/>
        <v>8.4727272745000004</v>
      </c>
      <c r="P40">
        <f t="shared" si="19"/>
        <v>26.965774611684935</v>
      </c>
      <c r="Q40">
        <v>40</v>
      </c>
      <c r="S40">
        <f t="shared" si="20"/>
        <v>26.938430028799999</v>
      </c>
      <c r="T40">
        <f t="shared" si="21"/>
        <v>18.961838263575139</v>
      </c>
      <c r="U40">
        <v>40</v>
      </c>
      <c r="W40">
        <f t="shared" si="22"/>
        <v>26.429535928500002</v>
      </c>
      <c r="X40">
        <f t="shared" si="23"/>
        <v>34.383254138412937</v>
      </c>
    </row>
    <row r="41" spans="1:24" x14ac:dyDescent="0.25">
      <c r="A41">
        <v>41</v>
      </c>
      <c r="C41">
        <f t="shared" si="12"/>
        <v>11.147826087999999</v>
      </c>
      <c r="D41">
        <f t="shared" si="13"/>
        <v>22.306839157818729</v>
      </c>
      <c r="E41">
        <v>41</v>
      </c>
      <c r="G41">
        <f t="shared" si="14"/>
        <v>11.147826087999999</v>
      </c>
      <c r="H41">
        <f t="shared" si="15"/>
        <v>26.186102659405584</v>
      </c>
      <c r="I41">
        <v>41</v>
      </c>
      <c r="K41">
        <f t="shared" si="16"/>
        <v>8.6181818200000002</v>
      </c>
      <c r="L41">
        <f t="shared" si="17"/>
        <v>11.505639859428925</v>
      </c>
      <c r="M41">
        <v>41</v>
      </c>
      <c r="O41">
        <f t="shared" si="18"/>
        <v>8.6181818200000002</v>
      </c>
      <c r="P41">
        <f t="shared" si="19"/>
        <v>27.240422676699957</v>
      </c>
      <c r="Q41">
        <v>41</v>
      </c>
      <c r="S41">
        <f t="shared" si="20"/>
        <v>27.384255854000003</v>
      </c>
      <c r="T41">
        <f t="shared" si="21"/>
        <v>19.385841284189127</v>
      </c>
      <c r="U41">
        <v>41</v>
      </c>
      <c r="W41">
        <f t="shared" si="22"/>
        <v>26.892324890400001</v>
      </c>
      <c r="X41">
        <f t="shared" si="23"/>
        <v>34.866754651694713</v>
      </c>
    </row>
    <row r="42" spans="1:24" x14ac:dyDescent="0.25">
      <c r="A42">
        <v>42</v>
      </c>
      <c r="C42">
        <f t="shared" si="12"/>
        <v>11.356521740199998</v>
      </c>
      <c r="D42">
        <f t="shared" si="13"/>
        <v>22.667152161257366</v>
      </c>
      <c r="E42">
        <v>42</v>
      </c>
      <c r="G42">
        <f t="shared" si="14"/>
        <v>11.356521740199998</v>
      </c>
      <c r="H42">
        <f t="shared" si="15"/>
        <v>26.629907197004098</v>
      </c>
      <c r="I42">
        <v>42</v>
      </c>
      <c r="K42">
        <f t="shared" si="16"/>
        <v>8.7636363655</v>
      </c>
      <c r="L42">
        <f t="shared" si="17"/>
        <v>11.790751539963548</v>
      </c>
      <c r="M42">
        <v>42</v>
      </c>
      <c r="O42">
        <f t="shared" si="18"/>
        <v>8.7636363655</v>
      </c>
      <c r="P42">
        <f t="shared" si="19"/>
        <v>27.515756555175098</v>
      </c>
      <c r="Q42">
        <v>42</v>
      </c>
      <c r="S42">
        <f t="shared" si="20"/>
        <v>27.830081679199999</v>
      </c>
      <c r="T42">
        <f t="shared" si="21"/>
        <v>19.808192341305897</v>
      </c>
      <c r="U42">
        <v>42</v>
      </c>
      <c r="W42">
        <f t="shared" si="22"/>
        <v>27.355113852300001</v>
      </c>
      <c r="X42">
        <f t="shared" si="23"/>
        <v>35.35205133102351</v>
      </c>
    </row>
    <row r="43" spans="1:24" x14ac:dyDescent="0.25">
      <c r="A43">
        <v>43</v>
      </c>
      <c r="C43">
        <f t="shared" si="12"/>
        <v>11.565217392400001</v>
      </c>
      <c r="D43">
        <f t="shared" si="13"/>
        <v>23.022813755238296</v>
      </c>
      <c r="E43">
        <v>43</v>
      </c>
      <c r="G43">
        <f t="shared" si="14"/>
        <v>11.565217392400001</v>
      </c>
      <c r="H43">
        <f t="shared" si="15"/>
        <v>27.078363144060326</v>
      </c>
      <c r="I43">
        <v>43</v>
      </c>
      <c r="K43">
        <f t="shared" si="16"/>
        <v>8.9090909109999998</v>
      </c>
      <c r="L43">
        <f t="shared" si="17"/>
        <v>12.075176127038263</v>
      </c>
      <c r="M43">
        <v>43</v>
      </c>
      <c r="O43">
        <f t="shared" si="18"/>
        <v>8.9090909109999998</v>
      </c>
      <c r="P43">
        <f t="shared" si="19"/>
        <v>27.791777527110149</v>
      </c>
      <c r="Q43">
        <v>43</v>
      </c>
      <c r="S43">
        <f t="shared" si="20"/>
        <v>28.275907504400003</v>
      </c>
      <c r="T43">
        <f t="shared" si="21"/>
        <v>20.228905892270078</v>
      </c>
      <c r="U43">
        <v>43</v>
      </c>
      <c r="W43">
        <f t="shared" si="22"/>
        <v>27.8179028142</v>
      </c>
      <c r="X43">
        <f t="shared" si="23"/>
        <v>35.839129056182607</v>
      </c>
    </row>
    <row r="44" spans="1:24" x14ac:dyDescent="0.25">
      <c r="A44">
        <v>44</v>
      </c>
      <c r="C44">
        <f t="shared" si="12"/>
        <v>11.7739130446</v>
      </c>
      <c r="D44">
        <f t="shared" si="13"/>
        <v>23.374135406979178</v>
      </c>
      <c r="E44">
        <v>44</v>
      </c>
      <c r="G44">
        <f t="shared" si="14"/>
        <v>11.7739130446</v>
      </c>
      <c r="H44">
        <f t="shared" si="15"/>
        <v>27.531159033356587</v>
      </c>
      <c r="I44">
        <v>44</v>
      </c>
      <c r="K44">
        <f t="shared" si="16"/>
        <v>9.0545454564999996</v>
      </c>
      <c r="L44">
        <f t="shared" si="17"/>
        <v>12.35891251800013</v>
      </c>
      <c r="M44">
        <v>44</v>
      </c>
      <c r="O44">
        <f t="shared" si="18"/>
        <v>9.0545454564999996</v>
      </c>
      <c r="P44">
        <f t="shared" si="19"/>
        <v>28.068486695158043</v>
      </c>
      <c r="Q44">
        <v>44</v>
      </c>
      <c r="S44">
        <f t="shared" si="20"/>
        <v>28.721733329599999</v>
      </c>
      <c r="T44">
        <f t="shared" si="21"/>
        <v>20.647997216797542</v>
      </c>
      <c r="U44">
        <v>44</v>
      </c>
      <c r="W44">
        <f t="shared" si="22"/>
        <v>28.280691776099999</v>
      </c>
      <c r="X44">
        <f t="shared" si="23"/>
        <v>36.327971700223173</v>
      </c>
    </row>
    <row r="45" spans="1:24" x14ac:dyDescent="0.25">
      <c r="A45">
        <v>45</v>
      </c>
      <c r="C45">
        <f t="shared" si="12"/>
        <v>11.9826086968</v>
      </c>
      <c r="D45">
        <f t="shared" si="13"/>
        <v>23.721426752717846</v>
      </c>
      <c r="E45">
        <v>45</v>
      </c>
      <c r="G45">
        <f t="shared" si="14"/>
        <v>11.9826086968</v>
      </c>
      <c r="H45">
        <f t="shared" si="15"/>
        <v>27.98798522865507</v>
      </c>
      <c r="I45">
        <v>45</v>
      </c>
      <c r="K45">
        <f t="shared" si="16"/>
        <v>9.2000000019999995</v>
      </c>
      <c r="L45">
        <f t="shared" si="17"/>
        <v>12.641959788983094</v>
      </c>
      <c r="M45">
        <v>45</v>
      </c>
      <c r="O45">
        <f t="shared" si="18"/>
        <v>9.2000000019999995</v>
      </c>
      <c r="P45">
        <f t="shared" si="19"/>
        <v>28.345884983184838</v>
      </c>
      <c r="Q45">
        <v>45</v>
      </c>
      <c r="S45">
        <f t="shared" si="20"/>
        <v>29.167559154800003</v>
      </c>
      <c r="T45">
        <f t="shared" si="21"/>
        <v>21.065482373500906</v>
      </c>
      <c r="U45">
        <v>45</v>
      </c>
      <c r="W45">
        <f t="shared" si="22"/>
        <v>28.743480738000002</v>
      </c>
      <c r="X45">
        <f t="shared" si="23"/>
        <v>36.818562180003489</v>
      </c>
    </row>
    <row r="46" spans="1:24" x14ac:dyDescent="0.25">
      <c r="A46">
        <v>46</v>
      </c>
      <c r="C46">
        <f t="shared" si="12"/>
        <v>12.191304348999999</v>
      </c>
      <c r="D46">
        <f t="shared" si="13"/>
        <v>24.064989895932015</v>
      </c>
      <c r="E46">
        <v>46</v>
      </c>
      <c r="G46">
        <f t="shared" si="14"/>
        <v>12.191304348999999</v>
      </c>
      <c r="H46">
        <f t="shared" si="15"/>
        <v>28.448539626478045</v>
      </c>
      <c r="I46">
        <v>46</v>
      </c>
      <c r="K46">
        <f t="shared" si="16"/>
        <v>9.345454547500001</v>
      </c>
      <c r="L46">
        <f t="shared" si="17"/>
        <v>12.924317196118533</v>
      </c>
      <c r="M46">
        <v>46</v>
      </c>
      <c r="O46">
        <f t="shared" si="18"/>
        <v>9.345454547500001</v>
      </c>
      <c r="P46">
        <f t="shared" si="19"/>
        <v>28.62397313505917</v>
      </c>
      <c r="Q46">
        <v>46</v>
      </c>
      <c r="S46">
        <f t="shared" si="20"/>
        <v>29.613384979999999</v>
      </c>
      <c r="T46">
        <f t="shared" si="21"/>
        <v>21.481378155217591</v>
      </c>
      <c r="U46">
        <v>46</v>
      </c>
      <c r="W46">
        <f t="shared" si="22"/>
        <v>29.206269699900002</v>
      </c>
      <c r="X46">
        <f t="shared" si="23"/>
        <v>37.310882508569527</v>
      </c>
    </row>
    <row r="47" spans="1:24" x14ac:dyDescent="0.25">
      <c r="A47">
        <v>47</v>
      </c>
      <c r="C47">
        <f t="shared" si="12"/>
        <v>12.400000001199999</v>
      </c>
      <c r="D47">
        <f t="shared" si="13"/>
        <v>24.405115117520747</v>
      </c>
      <c r="E47">
        <v>47</v>
      </c>
      <c r="G47">
        <f t="shared" si="14"/>
        <v>12.400000001199999</v>
      </c>
      <c r="H47">
        <f t="shared" si="15"/>
        <v>28.912531945926464</v>
      </c>
      <c r="I47">
        <v>47</v>
      </c>
      <c r="K47">
        <f t="shared" si="16"/>
        <v>9.4909090929999991</v>
      </c>
      <c r="L47">
        <f t="shared" si="17"/>
        <v>13.205984176512523</v>
      </c>
      <c r="M47">
        <v>47</v>
      </c>
      <c r="O47">
        <f t="shared" si="18"/>
        <v>9.4909090929999991</v>
      </c>
      <c r="P47">
        <f t="shared" si="19"/>
        <v>28.902751713674938</v>
      </c>
      <c r="Q47">
        <v>47</v>
      </c>
      <c r="S47">
        <f t="shared" si="20"/>
        <v>30.059210805200003</v>
      </c>
      <c r="T47">
        <f t="shared" si="21"/>
        <v>21.895702043405493</v>
      </c>
      <c r="U47">
        <v>47</v>
      </c>
      <c r="W47">
        <f t="shared" si="22"/>
        <v>29.669058661800001</v>
      </c>
      <c r="X47">
        <f t="shared" si="23"/>
        <v>37.8049138490301</v>
      </c>
    </row>
    <row r="48" spans="1:24" x14ac:dyDescent="0.25">
      <c r="A48">
        <v>48</v>
      </c>
      <c r="C48">
        <f t="shared" si="12"/>
        <v>12.608695653399998</v>
      </c>
      <c r="D48">
        <f t="shared" si="13"/>
        <v>24.742077874144236</v>
      </c>
      <c r="E48">
        <v>48</v>
      </c>
      <c r="G48">
        <f t="shared" si="14"/>
        <v>12.608695653399998</v>
      </c>
      <c r="H48">
        <f t="shared" si="15"/>
        <v>29.379686730340119</v>
      </c>
      <c r="I48">
        <v>48</v>
      </c>
      <c r="K48">
        <f t="shared" si="16"/>
        <v>9.6363636385000007</v>
      </c>
      <c r="L48">
        <f t="shared" si="17"/>
        <v>13.486960348986976</v>
      </c>
      <c r="M48">
        <v>48</v>
      </c>
      <c r="O48">
        <f t="shared" si="18"/>
        <v>9.6363636385000007</v>
      </c>
      <c r="P48">
        <f t="shared" si="19"/>
        <v>29.182221100210256</v>
      </c>
      <c r="Q48">
        <v>48</v>
      </c>
      <c r="S48">
        <f t="shared" si="20"/>
        <v>30.505036630399999</v>
      </c>
      <c r="T48">
        <f t="shared" si="21"/>
        <v>22.308472161866231</v>
      </c>
      <c r="U48">
        <v>48</v>
      </c>
      <c r="W48">
        <f t="shared" si="22"/>
        <v>30.131847623700001</v>
      </c>
      <c r="X48">
        <f t="shared" si="23"/>
        <v>38.3006365695827</v>
      </c>
    </row>
    <row r="49" spans="1:24" x14ac:dyDescent="0.25">
      <c r="A49">
        <v>49</v>
      </c>
      <c r="C49">
        <f t="shared" si="12"/>
        <v>12.817391305600001</v>
      </c>
      <c r="D49">
        <f t="shared" si="13"/>
        <v>25.07613690429697</v>
      </c>
      <c r="E49">
        <v>49</v>
      </c>
      <c r="G49">
        <f t="shared" si="14"/>
        <v>12.817391305600001</v>
      </c>
      <c r="H49">
        <f t="shared" si="15"/>
        <v>29.84974524122455</v>
      </c>
      <c r="I49">
        <v>49</v>
      </c>
      <c r="K49">
        <f t="shared" si="16"/>
        <v>9.7818181839999987</v>
      </c>
      <c r="L49">
        <f t="shared" si="17"/>
        <v>13.767245514582211</v>
      </c>
      <c r="M49">
        <v>49</v>
      </c>
      <c r="O49">
        <f t="shared" si="18"/>
        <v>9.7818181839999987</v>
      </c>
      <c r="P49">
        <f t="shared" si="19"/>
        <v>29.462381493624772</v>
      </c>
      <c r="Q49">
        <v>49</v>
      </c>
      <c r="S49">
        <f t="shared" si="20"/>
        <v>30.950862455600003</v>
      </c>
      <c r="T49">
        <f t="shared" si="21"/>
        <v>22.719707230049266</v>
      </c>
      <c r="U49">
        <v>49</v>
      </c>
      <c r="W49">
        <f t="shared" si="22"/>
        <v>30.5946365856</v>
      </c>
      <c r="X49">
        <f t="shared" si="23"/>
        <v>38.798030299352845</v>
      </c>
    </row>
    <row r="50" spans="1:24" x14ac:dyDescent="0.25">
      <c r="A50">
        <v>50</v>
      </c>
      <c r="C50">
        <f t="shared" si="12"/>
        <v>13.0260869578</v>
      </c>
      <c r="D50">
        <f t="shared" si="13"/>
        <v>25.407533240304375</v>
      </c>
      <c r="E50">
        <v>50</v>
      </c>
      <c r="G50">
        <f t="shared" si="14"/>
        <v>13.0260869578</v>
      </c>
      <c r="H50">
        <f t="shared" si="15"/>
        <v>30.322466446254289</v>
      </c>
      <c r="I50">
        <v>50</v>
      </c>
      <c r="K50">
        <f t="shared" si="16"/>
        <v>9.9272727295000003</v>
      </c>
      <c r="L50">
        <f t="shared" si="17"/>
        <v>14.0468396568196</v>
      </c>
      <c r="M50">
        <v>50</v>
      </c>
      <c r="O50">
        <f t="shared" si="18"/>
        <v>9.9272727295000003</v>
      </c>
      <c r="P50">
        <f t="shared" si="19"/>
        <v>29.743232910397154</v>
      </c>
      <c r="Q50">
        <v>50</v>
      </c>
      <c r="S50">
        <f t="shared" si="20"/>
        <v>31.396688280799999</v>
      </c>
      <c r="T50">
        <f t="shared" si="21"/>
        <v>23.129426516180565</v>
      </c>
      <c r="U50">
        <v>50</v>
      </c>
      <c r="W50">
        <f t="shared" si="22"/>
        <v>31.057425547499999</v>
      </c>
      <c r="X50">
        <f t="shared" si="23"/>
        <v>39.297073984719383</v>
      </c>
    </row>
    <row r="51" spans="1:24" x14ac:dyDescent="0.25">
      <c r="A51">
        <v>51</v>
      </c>
      <c r="C51">
        <f t="shared" si="12"/>
        <v>13.23478261</v>
      </c>
      <c r="D51">
        <f t="shared" si="13"/>
        <v>25.736489927871748</v>
      </c>
      <c r="E51">
        <v>51</v>
      </c>
      <c r="G51">
        <f t="shared" si="14"/>
        <v>13.23478261</v>
      </c>
      <c r="H51">
        <f t="shared" si="15"/>
        <v>30.797627299724066</v>
      </c>
      <c r="I51">
        <v>51</v>
      </c>
      <c r="K51">
        <f t="shared" si="16"/>
        <v>10.072727275</v>
      </c>
      <c r="L51">
        <f t="shared" si="17"/>
        <v>14.325742941723266</v>
      </c>
      <c r="M51">
        <v>51</v>
      </c>
      <c r="O51">
        <f t="shared" si="18"/>
        <v>10.072727275</v>
      </c>
      <c r="P51">
        <f t="shared" si="19"/>
        <v>30.024775184503252</v>
      </c>
      <c r="Q51">
        <v>51</v>
      </c>
      <c r="S51">
        <f t="shared" si="20"/>
        <v>31.842514106000003</v>
      </c>
      <c r="T51">
        <f t="shared" si="21"/>
        <v>23.537649790449017</v>
      </c>
      <c r="U51">
        <v>51</v>
      </c>
      <c r="W51">
        <f t="shared" si="22"/>
        <v>31.520214509400002</v>
      </c>
      <c r="X51">
        <f t="shared" si="23"/>
        <v>39.797745945810959</v>
      </c>
    </row>
    <row r="52" spans="1:24" x14ac:dyDescent="0.25">
      <c r="A52">
        <v>52</v>
      </c>
      <c r="C52">
        <f t="shared" si="12"/>
        <v>13.443478262199999</v>
      </c>
      <c r="D52">
        <f t="shared" si="13"/>
        <v>26.063212273428043</v>
      </c>
      <c r="E52">
        <v>52</v>
      </c>
      <c r="G52">
        <f t="shared" si="14"/>
        <v>13.443478262199999</v>
      </c>
      <c r="H52">
        <f t="shared" si="15"/>
        <v>31.275022495204915</v>
      </c>
      <c r="I52">
        <v>52</v>
      </c>
      <c r="K52">
        <f t="shared" si="16"/>
        <v>10.2181818205</v>
      </c>
      <c r="L52">
        <f t="shared" si="17"/>
        <v>14.603955717600972</v>
      </c>
      <c r="M52">
        <v>52</v>
      </c>
      <c r="O52">
        <f t="shared" si="18"/>
        <v>10.2181818205</v>
      </c>
      <c r="P52">
        <f t="shared" si="19"/>
        <v>30.307007967635311</v>
      </c>
      <c r="Q52">
        <v>52</v>
      </c>
      <c r="S52">
        <f t="shared" si="20"/>
        <v>32.288339931199999</v>
      </c>
      <c r="T52">
        <f t="shared" si="21"/>
        <v>23.944397278470881</v>
      </c>
      <c r="U52">
        <v>52</v>
      </c>
      <c r="W52">
        <f t="shared" si="22"/>
        <v>31.983003471300002</v>
      </c>
      <c r="X52">
        <f t="shared" si="23"/>
        <v>40.30002393287392</v>
      </c>
    </row>
    <row r="53" spans="1:24" x14ac:dyDescent="0.25">
      <c r="A53">
        <v>53</v>
      </c>
      <c r="C53">
        <f t="shared" si="12"/>
        <v>13.652173914399999</v>
      </c>
      <c r="D53">
        <f t="shared" si="13"/>
        <v>26.387888465631651</v>
      </c>
      <c r="E53">
        <v>53</v>
      </c>
      <c r="G53">
        <f t="shared" si="14"/>
        <v>13.652173914399999</v>
      </c>
      <c r="H53">
        <f t="shared" si="15"/>
        <v>31.754463844038451</v>
      </c>
      <c r="I53">
        <v>53</v>
      </c>
      <c r="K53">
        <f t="shared" si="16"/>
        <v>10.363636366</v>
      </c>
      <c r="L53">
        <f t="shared" si="17"/>
        <v>14.881478514584739</v>
      </c>
      <c r="M53">
        <v>53</v>
      </c>
      <c r="O53">
        <f t="shared" si="18"/>
        <v>10.363636366</v>
      </c>
      <c r="P53">
        <f t="shared" si="19"/>
        <v>30.589930729661301</v>
      </c>
      <c r="Q53">
        <v>53</v>
      </c>
      <c r="S53">
        <f t="shared" si="20"/>
        <v>32.734165756400003</v>
      </c>
      <c r="T53">
        <f t="shared" si="21"/>
        <v>24.349689615238965</v>
      </c>
      <c r="U53">
        <v>53</v>
      </c>
      <c r="W53">
        <f t="shared" si="22"/>
        <v>32.445792433199998</v>
      </c>
      <c r="X53">
        <f t="shared" si="23"/>
        <v>40.803885182229209</v>
      </c>
    </row>
    <row r="54" spans="1:24" x14ac:dyDescent="0.25">
      <c r="A54">
        <v>54</v>
      </c>
      <c r="C54">
        <f t="shared" si="12"/>
        <v>13.860869566599998</v>
      </c>
      <c r="D54">
        <f t="shared" si="13"/>
        <v>26.710690445636022</v>
      </c>
      <c r="E54">
        <v>54</v>
      </c>
      <c r="G54">
        <f t="shared" si="14"/>
        <v>13.860869566599998</v>
      </c>
      <c r="H54">
        <f t="shared" si="15"/>
        <v>32.235779405071234</v>
      </c>
      <c r="I54">
        <v>54</v>
      </c>
      <c r="K54">
        <f t="shared" si="16"/>
        <v>10.5090909115</v>
      </c>
      <c r="L54">
        <f t="shared" si="17"/>
        <v>15.158312043932682</v>
      </c>
      <c r="M54">
        <v>54</v>
      </c>
      <c r="O54">
        <f t="shared" si="18"/>
        <v>10.5090909115</v>
      </c>
      <c r="P54">
        <f t="shared" si="19"/>
        <v>30.873542759323122</v>
      </c>
      <c r="Q54">
        <v>54</v>
      </c>
      <c r="S54">
        <f t="shared" si="20"/>
        <v>33.1799915816</v>
      </c>
      <c r="T54">
        <f t="shared" si="21"/>
        <v>24.753547799748041</v>
      </c>
      <c r="U54">
        <v>54</v>
      </c>
      <c r="W54">
        <f t="shared" si="22"/>
        <v>32.908581395100001</v>
      </c>
      <c r="X54">
        <f t="shared" si="23"/>
        <v>41.309306471554876</v>
      </c>
    </row>
    <row r="55" spans="1:24" x14ac:dyDescent="0.25">
      <c r="A55">
        <v>55</v>
      </c>
      <c r="C55">
        <f t="shared" si="12"/>
        <v>14.069565218800001</v>
      </c>
      <c r="D55">
        <f t="shared" si="13"/>
        <v>27.031774927670114</v>
      </c>
      <c r="E55">
        <v>55</v>
      </c>
      <c r="G55">
        <f t="shared" si="14"/>
        <v>14.069565218800001</v>
      </c>
      <c r="H55">
        <f t="shared" si="15"/>
        <v>32.718812464074297</v>
      </c>
      <c r="I55">
        <v>55</v>
      </c>
      <c r="K55">
        <f t="shared" si="16"/>
        <v>10.654545457000001</v>
      </c>
      <c r="L55">
        <f t="shared" si="17"/>
        <v>15.434457197094126</v>
      </c>
      <c r="M55">
        <v>55</v>
      </c>
      <c r="O55">
        <f t="shared" si="18"/>
        <v>10.654545457000001</v>
      </c>
      <c r="P55">
        <f t="shared" si="19"/>
        <v>31.15784316517145</v>
      </c>
      <c r="Q55">
        <v>55</v>
      </c>
      <c r="S55">
        <f t="shared" si="20"/>
        <v>33.625817406800003</v>
      </c>
      <c r="T55">
        <f t="shared" si="21"/>
        <v>25.155993150472675</v>
      </c>
      <c r="U55">
        <v>55</v>
      </c>
      <c r="W55">
        <f t="shared" si="22"/>
        <v>33.371370357000004</v>
      </c>
      <c r="X55">
        <f t="shared" si="23"/>
        <v>41.816264174251273</v>
      </c>
    </row>
    <row r="56" spans="1:24" x14ac:dyDescent="0.25">
      <c r="A56">
        <v>56</v>
      </c>
      <c r="C56">
        <f t="shared" si="12"/>
        <v>14.278260871000001</v>
      </c>
      <c r="D56">
        <f t="shared" si="13"/>
        <v>27.351284495353791</v>
      </c>
      <c r="E56">
        <v>56</v>
      </c>
      <c r="G56">
        <f t="shared" si="14"/>
        <v>14.278260871000001</v>
      </c>
      <c r="H56">
        <f t="shared" si="15"/>
        <v>33.203420437427766</v>
      </c>
      <c r="I56">
        <v>56</v>
      </c>
      <c r="K56">
        <f t="shared" si="16"/>
        <v>10.800000002499999</v>
      </c>
      <c r="L56">
        <f t="shared" si="17"/>
        <v>15.709915044540951</v>
      </c>
      <c r="M56">
        <v>56</v>
      </c>
      <c r="O56">
        <f t="shared" si="18"/>
        <v>10.800000002499999</v>
      </c>
      <c r="P56">
        <f t="shared" si="19"/>
        <v>31.442830876734384</v>
      </c>
      <c r="Q56">
        <v>56</v>
      </c>
      <c r="S56">
        <f t="shared" si="20"/>
        <v>34.071643232</v>
      </c>
      <c r="T56">
        <f t="shared" si="21"/>
        <v>25.557047261856944</v>
      </c>
      <c r="U56">
        <v>56</v>
      </c>
      <c r="W56">
        <f t="shared" si="22"/>
        <v>33.834159318899999</v>
      </c>
      <c r="X56">
        <f t="shared" si="23"/>
        <v>42.324734312667346</v>
      </c>
    </row>
    <row r="57" spans="1:24" x14ac:dyDescent="0.25">
      <c r="A57">
        <v>57</v>
      </c>
      <c r="C57">
        <f t="shared" si="12"/>
        <v>14.4869565232</v>
      </c>
      <c r="D57">
        <f t="shared" si="13"/>
        <v>27.669348719211236</v>
      </c>
      <c r="E57">
        <v>57</v>
      </c>
      <c r="G57">
        <f t="shared" si="14"/>
        <v>14.4869565232</v>
      </c>
      <c r="H57">
        <f t="shared" si="15"/>
        <v>33.689473754607469</v>
      </c>
      <c r="I57">
        <v>57</v>
      </c>
      <c r="K57">
        <f t="shared" si="16"/>
        <v>10.945454548000001</v>
      </c>
      <c r="L57">
        <f t="shared" si="17"/>
        <v>15.984686834368697</v>
      </c>
      <c r="M57">
        <v>57</v>
      </c>
      <c r="O57">
        <f t="shared" si="18"/>
        <v>10.945454548000001</v>
      </c>
      <c r="P57">
        <f t="shared" si="19"/>
        <v>31.728504645916402</v>
      </c>
      <c r="Q57">
        <v>57</v>
      </c>
      <c r="S57">
        <f t="shared" si="20"/>
        <v>34.517469057200003</v>
      </c>
      <c r="T57">
        <f t="shared" si="21"/>
        <v>25.956731961959406</v>
      </c>
      <c r="U57">
        <v>57</v>
      </c>
      <c r="W57">
        <f t="shared" si="22"/>
        <v>34.296948280800002</v>
      </c>
      <c r="X57">
        <f t="shared" si="23"/>
        <v>42.834692609988707</v>
      </c>
    </row>
    <row r="58" spans="1:24" x14ac:dyDescent="0.25">
      <c r="A58">
        <v>58</v>
      </c>
      <c r="C58">
        <f t="shared" si="12"/>
        <v>14.695652175399999</v>
      </c>
      <c r="D58">
        <f t="shared" si="13"/>
        <v>27.986085257015571</v>
      </c>
      <c r="E58">
        <v>58</v>
      </c>
      <c r="G58">
        <f t="shared" si="14"/>
        <v>14.695652175399999</v>
      </c>
      <c r="H58">
        <f t="shared" si="15"/>
        <v>34.176854757840289</v>
      </c>
      <c r="I58">
        <v>58</v>
      </c>
      <c r="K58">
        <f t="shared" si="16"/>
        <v>11.090909093499999</v>
      </c>
      <c r="L58">
        <f t="shared" si="17"/>
        <v>16.258773990671614</v>
      </c>
      <c r="M58">
        <v>58</v>
      </c>
      <c r="O58">
        <f t="shared" si="18"/>
        <v>11.090909093499999</v>
      </c>
      <c r="P58">
        <f t="shared" si="19"/>
        <v>32.014863048623241</v>
      </c>
      <c r="Q58">
        <v>58</v>
      </c>
      <c r="S58">
        <f t="shared" si="20"/>
        <v>34.9632948824</v>
      </c>
      <c r="T58">
        <f t="shared" si="21"/>
        <v>26.355069271379644</v>
      </c>
      <c r="U58">
        <v>58</v>
      </c>
      <c r="W58">
        <f t="shared" si="22"/>
        <v>34.759737242699998</v>
      </c>
      <c r="X58">
        <f t="shared" si="23"/>
        <v>43.346114540610223</v>
      </c>
    </row>
    <row r="59" spans="1:24" x14ac:dyDescent="0.25">
      <c r="A59">
        <v>59</v>
      </c>
      <c r="C59">
        <f t="shared" si="12"/>
        <v>14.904347827599999</v>
      </c>
      <c r="D59">
        <f t="shared" si="13"/>
        <v>28.301600911223048</v>
      </c>
      <c r="E59">
        <v>59</v>
      </c>
      <c r="G59">
        <f t="shared" si="14"/>
        <v>14.904347827599999</v>
      </c>
      <c r="H59">
        <f t="shared" si="15"/>
        <v>34.665456644669952</v>
      </c>
      <c r="I59">
        <v>59</v>
      </c>
      <c r="K59">
        <f t="shared" si="16"/>
        <v>11.236363639</v>
      </c>
      <c r="L59">
        <f t="shared" si="17"/>
        <v>16.532178111696687</v>
      </c>
      <c r="M59">
        <v>59</v>
      </c>
      <c r="O59">
        <f t="shared" si="18"/>
        <v>11.236363639</v>
      </c>
      <c r="P59">
        <f t="shared" si="19"/>
        <v>32.301904486607938</v>
      </c>
      <c r="Q59">
        <v>59</v>
      </c>
      <c r="S59">
        <f t="shared" si="20"/>
        <v>35.409120707600003</v>
      </c>
      <c r="T59">
        <f t="shared" si="21"/>
        <v>26.752081363576458</v>
      </c>
      <c r="U59">
        <v>59</v>
      </c>
      <c r="W59">
        <f t="shared" si="22"/>
        <v>35.222526204600001</v>
      </c>
      <c r="X59">
        <f t="shared" si="23"/>
        <v>43.858975378838807</v>
      </c>
    </row>
    <row r="60" spans="1:24" x14ac:dyDescent="0.25">
      <c r="A60">
        <v>60</v>
      </c>
      <c r="C60">
        <f t="shared" si="12"/>
        <v>15.113043479799998</v>
      </c>
      <c r="D60">
        <f t="shared" si="13"/>
        <v>28.61599262733359</v>
      </c>
      <c r="E60">
        <v>60</v>
      </c>
      <c r="G60">
        <f t="shared" si="14"/>
        <v>15.113043479799998</v>
      </c>
      <c r="H60">
        <f t="shared" si="15"/>
        <v>35.155182469596554</v>
      </c>
      <c r="I60">
        <v>60</v>
      </c>
      <c r="K60">
        <f t="shared" si="16"/>
        <v>11.381818184499998</v>
      </c>
      <c r="L60">
        <f t="shared" si="17"/>
        <v>16.804900967782029</v>
      </c>
      <c r="M60">
        <v>60</v>
      </c>
      <c r="O60">
        <f t="shared" si="18"/>
        <v>11.381818184499998</v>
      </c>
      <c r="P60">
        <f t="shared" si="19"/>
        <v>32.589627189532351</v>
      </c>
      <c r="Q60">
        <v>60</v>
      </c>
      <c r="S60">
        <f t="shared" si="20"/>
        <v>35.8549465328</v>
      </c>
      <c r="T60">
        <f t="shared" si="21"/>
        <v>27.147790526671315</v>
      </c>
      <c r="U60">
        <v>60</v>
      </c>
      <c r="W60">
        <f t="shared" si="22"/>
        <v>35.685315166500004</v>
      </c>
      <c r="X60">
        <f t="shared" si="23"/>
        <v>44.373250245793585</v>
      </c>
    </row>
    <row r="61" spans="1:24" x14ac:dyDescent="0.25">
      <c r="A61">
        <v>61</v>
      </c>
      <c r="C61">
        <f t="shared" si="12"/>
        <v>15.321739132000001</v>
      </c>
      <c r="D61">
        <f t="shared" si="13"/>
        <v>28.929348424088392</v>
      </c>
      <c r="E61">
        <v>61</v>
      </c>
      <c r="G61">
        <f t="shared" si="14"/>
        <v>15.321739132000001</v>
      </c>
      <c r="H61">
        <f t="shared" si="15"/>
        <v>35.64594421387892</v>
      </c>
      <c r="I61">
        <v>61</v>
      </c>
      <c r="K61">
        <f t="shared" si="16"/>
        <v>11.52727273</v>
      </c>
      <c r="L61">
        <f t="shared" si="17"/>
        <v>17.07694449908594</v>
      </c>
      <c r="M61">
        <v>61</v>
      </c>
      <c r="O61">
        <f t="shared" si="18"/>
        <v>11.52727273</v>
      </c>
      <c r="P61">
        <f t="shared" si="19"/>
        <v>32.878029217238208</v>
      </c>
      <c r="Q61">
        <v>61</v>
      </c>
      <c r="S61">
        <f t="shared" si="20"/>
        <v>36.300772358000003</v>
      </c>
      <c r="T61">
        <f t="shared" si="21"/>
        <v>27.542219126815052</v>
      </c>
      <c r="U61">
        <v>61</v>
      </c>
      <c r="W61">
        <f t="shared" si="22"/>
        <v>36.1481041284</v>
      </c>
      <c r="X61">
        <f t="shared" si="23"/>
        <v>44.888914154392864</v>
      </c>
    </row>
    <row r="62" spans="1:24" x14ac:dyDescent="0.25">
      <c r="A62">
        <v>62</v>
      </c>
      <c r="C62">
        <f t="shared" si="12"/>
        <v>15.530434784200001</v>
      </c>
      <c r="D62">
        <f t="shared" si="13"/>
        <v>29.241748251498194</v>
      </c>
      <c r="E62">
        <v>62</v>
      </c>
      <c r="G62">
        <f t="shared" si="14"/>
        <v>15.530434784200001</v>
      </c>
      <c r="H62">
        <f t="shared" si="15"/>
        <v>36.137661927506258</v>
      </c>
      <c r="I62">
        <v>62</v>
      </c>
      <c r="K62">
        <f t="shared" si="16"/>
        <v>11.672727275500002</v>
      </c>
      <c r="L62">
        <f t="shared" si="17"/>
        <v>17.348310813113187</v>
      </c>
      <c r="M62">
        <v>62</v>
      </c>
      <c r="O62">
        <f t="shared" si="18"/>
        <v>11.672727275500002</v>
      </c>
      <c r="P62">
        <f t="shared" si="19"/>
        <v>33.167108462220732</v>
      </c>
      <c r="Q62">
        <v>62</v>
      </c>
      <c r="S62">
        <f t="shared" si="20"/>
        <v>36.7465981832</v>
      </c>
      <c r="T62">
        <f t="shared" si="21"/>
        <v>27.935389573180359</v>
      </c>
      <c r="U62">
        <v>62</v>
      </c>
      <c r="W62">
        <f t="shared" si="22"/>
        <v>36.610893090299996</v>
      </c>
      <c r="X62">
        <f t="shared" si="23"/>
        <v>45.405942052337828</v>
      </c>
    </row>
    <row r="63" spans="1:24" x14ac:dyDescent="0.25">
      <c r="A63">
        <v>63</v>
      </c>
      <c r="C63">
        <f t="shared" si="12"/>
        <v>15.7391304364</v>
      </c>
      <c r="D63">
        <f t="shared" si="13"/>
        <v>29.55326477623807</v>
      </c>
      <c r="E63">
        <v>63</v>
      </c>
      <c r="G63">
        <f t="shared" si="14"/>
        <v>15.7391304364</v>
      </c>
      <c r="H63">
        <f t="shared" si="15"/>
        <v>36.630262943803523</v>
      </c>
      <c r="I63">
        <v>63</v>
      </c>
      <c r="K63">
        <f t="shared" si="16"/>
        <v>11.818181821</v>
      </c>
      <c r="L63">
        <f t="shared" si="17"/>
        <v>17.61900218204589</v>
      </c>
      <c r="M63">
        <v>63</v>
      </c>
      <c r="O63">
        <f t="shared" si="18"/>
        <v>11.818181821</v>
      </c>
      <c r="P63">
        <f t="shared" si="19"/>
        <v>33.456862652297787</v>
      </c>
      <c r="Q63">
        <v>63</v>
      </c>
      <c r="S63">
        <f t="shared" si="20"/>
        <v>37.192424008400003</v>
      </c>
      <c r="T63">
        <f t="shared" si="21"/>
        <v>28.327324284628439</v>
      </c>
      <c r="U63">
        <v>63</v>
      </c>
      <c r="W63">
        <f t="shared" si="22"/>
        <v>37.073682052199999</v>
      </c>
      <c r="X63">
        <f t="shared" si="23"/>
        <v>45.924308863022823</v>
      </c>
    </row>
    <row r="64" spans="1:24" x14ac:dyDescent="0.25">
      <c r="A64">
        <v>64</v>
      </c>
      <c r="C64">
        <f t="shared" si="12"/>
        <v>15.947826088599999</v>
      </c>
      <c r="D64">
        <f t="shared" si="13"/>
        <v>29.863964096321368</v>
      </c>
      <c r="E64">
        <v>64</v>
      </c>
      <c r="G64">
        <f t="shared" si="14"/>
        <v>15.947826088599999</v>
      </c>
      <c r="H64">
        <f t="shared" si="15"/>
        <v>37.123681164757372</v>
      </c>
      <c r="I64">
        <v>64</v>
      </c>
      <c r="K64">
        <f t="shared" si="16"/>
        <v>11.963636366500001</v>
      </c>
      <c r="L64">
        <f t="shared" si="17"/>
        <v>17.889021039886693</v>
      </c>
      <c r="M64">
        <v>64</v>
      </c>
      <c r="O64">
        <f t="shared" si="18"/>
        <v>11.963636366500001</v>
      </c>
      <c r="P64">
        <f t="shared" si="19"/>
        <v>33.747289353466748</v>
      </c>
      <c r="Q64">
        <v>64</v>
      </c>
      <c r="S64">
        <f t="shared" si="20"/>
        <v>37.6382498336</v>
      </c>
      <c r="T64">
        <f t="shared" si="21"/>
        <v>28.718045658084094</v>
      </c>
      <c r="U64">
        <v>64</v>
      </c>
      <c r="W64">
        <f t="shared" si="22"/>
        <v>37.536471014100002</v>
      </c>
      <c r="X64">
        <f t="shared" si="23"/>
        <v>46.443989524321388</v>
      </c>
    </row>
    <row r="65" spans="1:24" x14ac:dyDescent="0.25">
      <c r="A65">
        <v>65</v>
      </c>
      <c r="C65">
        <f t="shared" ref="C65:C70" si="24">2.8+(A65-1)*0.2086956522</f>
        <v>16.156521740799999</v>
      </c>
      <c r="D65">
        <f t="shared" ref="D65:D70" si="25">2.76983158408592+1.92653160849402*C65-7.63820533294699*(0.0555555555555556+(C65-9.72222222222222)^2/227.611111111111)^0.5</f>
        <v>30.173906388480489</v>
      </c>
      <c r="E65">
        <v>65</v>
      </c>
      <c r="G65">
        <f t="shared" ref="G65:G70" si="26">2.8+(E65-1)*0.2086956522</f>
        <v>16.156521740799999</v>
      </c>
      <c r="H65">
        <f t="shared" ref="H65:H70" si="27">2.76983158408592+1.92653160849402*G65+7.63820533294699*(0.0555555555555556+(G65-9.72222222222222)^2/227.611111111111)^0.5</f>
        <v>37.617856413635408</v>
      </c>
      <c r="I65">
        <v>65</v>
      </c>
      <c r="K65">
        <f t="shared" ref="K65:K100" si="28">2.8+(I65-1)*0.1454545455</f>
        <v>12.109090911999999</v>
      </c>
      <c r="L65">
        <f t="shared" ref="L65:L96" si="29">2.76983158408592+1.92653160849402*K65-7.63820533294699*(1.05555555555556+(K65-9.72222222222222)^2/227.611111111111)^0.5</f>
        <v>18.158369979422417</v>
      </c>
      <c r="M65">
        <v>65</v>
      </c>
      <c r="O65">
        <f t="shared" ref="O65:O100" si="30">2.8+(M65-1)*0.1454545455</f>
        <v>12.109090911999999</v>
      </c>
      <c r="P65">
        <f t="shared" ref="P65:P96" si="31">2.76983158408592+1.92653160849402*O65+7.63820533294699*(1.05555555555556+(O65-9.72222222222222)^2/227.611111111111)^0.5</f>
        <v>34.03838597294078</v>
      </c>
      <c r="Q65">
        <v>65</v>
      </c>
      <c r="S65">
        <f t="shared" ref="S65:S70" si="32">9.551222846+(Q65-1)*0.4458258252</f>
        <v>38.084075658800003</v>
      </c>
      <c r="T65">
        <f t="shared" ref="T65:T70" si="33">0+1*S65-7.63820533294699*(1.05555555555556+(S65-21.5)^2/844.784110324628)^0.5</f>
        <v>29.107576038641014</v>
      </c>
      <c r="U65">
        <v>65</v>
      </c>
      <c r="W65">
        <f t="shared" ref="W65:W70" si="34">8.3807664144+(U65-1)*0.4627889619</f>
        <v>37.999259976000005</v>
      </c>
      <c r="X65">
        <f t="shared" ref="X65:X70" si="35">0+1*W65+7.63820533294699*(1.05555555555556+(W65-21.5)^2/844.784110324628)^0.5</f>
        <v>46.964959025214476</v>
      </c>
    </row>
    <row r="66" spans="1:24" x14ac:dyDescent="0.25">
      <c r="A66">
        <v>66</v>
      </c>
      <c r="C66">
        <f t="shared" si="24"/>
        <v>16.365217392999998</v>
      </c>
      <c r="D66">
        <f t="shared" si="25"/>
        <v>30.483146492571279</v>
      </c>
      <c r="E66">
        <v>66</v>
      </c>
      <c r="G66">
        <f t="shared" si="26"/>
        <v>16.365217392999998</v>
      </c>
      <c r="H66">
        <f t="shared" si="27"/>
        <v>38.112733850581762</v>
      </c>
      <c r="I66">
        <v>66</v>
      </c>
      <c r="K66">
        <f t="shared" si="28"/>
        <v>12.254545457500001</v>
      </c>
      <c r="L66">
        <f t="shared" si="29"/>
        <v>18.427051749016886</v>
      </c>
      <c r="M66">
        <v>66</v>
      </c>
      <c r="O66">
        <f t="shared" si="30"/>
        <v>12.254545457500001</v>
      </c>
      <c r="P66">
        <f t="shared" si="31"/>
        <v>34.330149762356086</v>
      </c>
      <c r="Q66">
        <v>66</v>
      </c>
      <c r="S66">
        <f t="shared" si="32"/>
        <v>38.529901484</v>
      </c>
      <c r="T66">
        <f t="shared" si="33"/>
        <v>29.495937691406848</v>
      </c>
      <c r="U66">
        <v>66</v>
      </c>
      <c r="W66">
        <f t="shared" si="34"/>
        <v>38.462048937900001</v>
      </c>
      <c r="X66">
        <f t="shared" si="35"/>
        <v>47.487192440243973</v>
      </c>
    </row>
    <row r="67" spans="1:24" x14ac:dyDescent="0.25">
      <c r="A67">
        <v>67</v>
      </c>
      <c r="C67">
        <f t="shared" si="24"/>
        <v>16.573913045200001</v>
      </c>
      <c r="D67">
        <f t="shared" si="25"/>
        <v>30.791734437763626</v>
      </c>
      <c r="E67">
        <v>67</v>
      </c>
      <c r="G67">
        <f t="shared" si="26"/>
        <v>16.573913045200001</v>
      </c>
      <c r="H67">
        <f t="shared" si="27"/>
        <v>38.608263446426577</v>
      </c>
      <c r="I67">
        <v>67</v>
      </c>
      <c r="K67">
        <f t="shared" si="28"/>
        <v>12.400000002999999</v>
      </c>
      <c r="L67">
        <f t="shared" si="29"/>
        <v>18.695069249241815</v>
      </c>
      <c r="M67">
        <v>67</v>
      </c>
      <c r="O67">
        <f t="shared" si="30"/>
        <v>12.400000002999999</v>
      </c>
      <c r="P67">
        <f t="shared" si="31"/>
        <v>34.622577821140915</v>
      </c>
      <c r="Q67">
        <v>67</v>
      </c>
      <c r="S67">
        <f t="shared" si="32"/>
        <v>38.975727309200003</v>
      </c>
      <c r="T67">
        <f t="shared" si="33"/>
        <v>29.883152775087019</v>
      </c>
      <c r="U67">
        <v>67</v>
      </c>
      <c r="W67">
        <f t="shared" si="34"/>
        <v>38.924837899799996</v>
      </c>
      <c r="X67">
        <f t="shared" si="35"/>
        <v>48.010664961789772</v>
      </c>
    </row>
    <row r="68" spans="1:24" x14ac:dyDescent="0.25">
      <c r="A68">
        <v>68</v>
      </c>
      <c r="C68">
        <f t="shared" si="24"/>
        <v>16.782608697400001</v>
      </c>
      <c r="D68">
        <f t="shared" si="25"/>
        <v>31.099715915419438</v>
      </c>
      <c r="E68">
        <v>68</v>
      </c>
      <c r="G68">
        <f t="shared" si="26"/>
        <v>16.782608697400001</v>
      </c>
      <c r="H68">
        <f t="shared" si="27"/>
        <v>39.104399509807905</v>
      </c>
      <c r="I68">
        <v>68</v>
      </c>
      <c r="K68">
        <f t="shared" si="28"/>
        <v>12.5454545485</v>
      </c>
      <c r="L68">
        <f t="shared" si="29"/>
        <v>18.962425529355222</v>
      </c>
      <c r="M68">
        <v>68</v>
      </c>
      <c r="O68">
        <f t="shared" si="30"/>
        <v>12.5454545485</v>
      </c>
      <c r="P68">
        <f t="shared" si="31"/>
        <v>34.915667100037268</v>
      </c>
      <c r="Q68">
        <v>68</v>
      </c>
      <c r="S68">
        <f t="shared" si="32"/>
        <v>39.4215531344</v>
      </c>
      <c r="T68">
        <f t="shared" si="33"/>
        <v>30.269243317295782</v>
      </c>
      <c r="U68">
        <v>68</v>
      </c>
      <c r="W68">
        <f t="shared" si="34"/>
        <v>39.387626861699999</v>
      </c>
      <c r="X68">
        <f t="shared" si="35"/>
        <v>48.535351930182202</v>
      </c>
    </row>
    <row r="69" spans="1:24" x14ac:dyDescent="0.25">
      <c r="A69">
        <v>69</v>
      </c>
      <c r="C69">
        <f t="shared" si="24"/>
        <v>16.9913043496</v>
      </c>
      <c r="D69">
        <f t="shared" si="25"/>
        <v>31.407132703492618</v>
      </c>
      <c r="E69">
        <v>69</v>
      </c>
      <c r="G69">
        <f t="shared" si="26"/>
        <v>16.9913043496</v>
      </c>
      <c r="H69">
        <f t="shared" si="27"/>
        <v>39.60110026277188</v>
      </c>
      <c r="I69">
        <v>69</v>
      </c>
      <c r="K69">
        <f t="shared" si="28"/>
        <v>12.690909093999998</v>
      </c>
      <c r="L69">
        <f t="shared" si="29"/>
        <v>19.229123783636862</v>
      </c>
      <c r="M69">
        <v>69</v>
      </c>
      <c r="O69">
        <f t="shared" si="30"/>
        <v>12.690909093999998</v>
      </c>
      <c r="P69">
        <f t="shared" si="31"/>
        <v>35.20941440476539</v>
      </c>
      <c r="Q69">
        <v>69</v>
      </c>
      <c r="S69">
        <f t="shared" si="32"/>
        <v>39.867378959600003</v>
      </c>
      <c r="T69">
        <f t="shared" si="33"/>
        <v>30.654231191574631</v>
      </c>
      <c r="U69">
        <v>69</v>
      </c>
      <c r="W69">
        <f t="shared" si="34"/>
        <v>39.850415823600002</v>
      </c>
      <c r="X69">
        <f t="shared" si="35"/>
        <v>49.061228861674195</v>
      </c>
    </row>
    <row r="70" spans="1:24" x14ac:dyDescent="0.25">
      <c r="A70">
        <v>70</v>
      </c>
      <c r="C70">
        <f t="shared" si="24"/>
        <v>17.200000001799999</v>
      </c>
      <c r="D70">
        <f t="shared" si="25"/>
        <v>31.714023047086258</v>
      </c>
      <c r="E70">
        <v>70</v>
      </c>
      <c r="G70">
        <f t="shared" si="26"/>
        <v>17.200000001799999</v>
      </c>
      <c r="H70">
        <f t="shared" si="27"/>
        <v>40.098327460215387</v>
      </c>
      <c r="I70">
        <v>70</v>
      </c>
      <c r="K70">
        <f t="shared" si="28"/>
        <v>12.8363636395</v>
      </c>
      <c r="L70">
        <f t="shared" si="29"/>
        <v>19.495167347590591</v>
      </c>
      <c r="M70">
        <v>70</v>
      </c>
      <c r="O70">
        <f t="shared" si="30"/>
        <v>12.8363636395</v>
      </c>
      <c r="P70">
        <f t="shared" si="31"/>
        <v>35.503816399821432</v>
      </c>
      <c r="Q70">
        <v>70</v>
      </c>
      <c r="S70">
        <f t="shared" si="32"/>
        <v>40.3132047848</v>
      </c>
      <c r="T70">
        <f t="shared" si="33"/>
        <v>31.038138096089565</v>
      </c>
      <c r="U70">
        <v>70</v>
      </c>
      <c r="W70">
        <f t="shared" si="34"/>
        <v>40.313204785500005</v>
      </c>
      <c r="X70">
        <f t="shared" si="35"/>
        <v>49.588271474308499</v>
      </c>
    </row>
    <row r="71" spans="1:24" x14ac:dyDescent="0.25">
      <c r="I71">
        <v>71</v>
      </c>
      <c r="K71">
        <f t="shared" si="28"/>
        <v>12.981818185000002</v>
      </c>
      <c r="L71">
        <f t="shared" si="29"/>
        <v>19.760559694023698</v>
      </c>
      <c r="M71">
        <v>71</v>
      </c>
      <c r="O71">
        <f t="shared" si="30"/>
        <v>12.981818185000002</v>
      </c>
      <c r="P71">
        <f t="shared" si="31"/>
        <v>35.798869612398093</v>
      </c>
    </row>
    <row r="72" spans="1:24" x14ac:dyDescent="0.25">
      <c r="I72">
        <v>72</v>
      </c>
      <c r="K72">
        <f t="shared" si="28"/>
        <v>13.1272727305</v>
      </c>
      <c r="L72">
        <f t="shared" si="29"/>
        <v>20.025304429013396</v>
      </c>
      <c r="M72">
        <v>72</v>
      </c>
      <c r="O72">
        <f t="shared" si="30"/>
        <v>13.1272727305</v>
      </c>
      <c r="P72">
        <f t="shared" si="31"/>
        <v>36.094570436418145</v>
      </c>
    </row>
    <row r="73" spans="1:24" x14ac:dyDescent="0.25">
      <c r="I73">
        <v>73</v>
      </c>
      <c r="K73">
        <f t="shared" si="28"/>
        <v>13.272727276000001</v>
      </c>
      <c r="L73">
        <f t="shared" si="29"/>
        <v>20.289405287770819</v>
      </c>
      <c r="M73">
        <v>73</v>
      </c>
      <c r="O73">
        <f t="shared" si="30"/>
        <v>13.272727276000001</v>
      </c>
      <c r="P73">
        <f t="shared" si="31"/>
        <v>36.390915136670493</v>
      </c>
    </row>
    <row r="74" spans="1:24" x14ac:dyDescent="0.25">
      <c r="I74">
        <v>74</v>
      </c>
      <c r="K74">
        <f t="shared" si="28"/>
        <v>13.418181821499999</v>
      </c>
      <c r="L74">
        <f t="shared" si="29"/>
        <v>20.552866130412738</v>
      </c>
      <c r="M74">
        <v>74</v>
      </c>
      <c r="O74">
        <f t="shared" si="30"/>
        <v>13.418181821499999</v>
      </c>
      <c r="P74">
        <f t="shared" si="31"/>
        <v>36.687899853038331</v>
      </c>
    </row>
    <row r="75" spans="1:24" x14ac:dyDescent="0.25">
      <c r="I75">
        <v>75</v>
      </c>
      <c r="K75">
        <f t="shared" si="28"/>
        <v>13.563636367000001</v>
      </c>
      <c r="L75">
        <f t="shared" si="29"/>
        <v>20.815690937651638</v>
      </c>
      <c r="M75">
        <v>75</v>
      </c>
      <c r="O75">
        <f t="shared" si="30"/>
        <v>13.563636367000001</v>
      </c>
      <c r="P75">
        <f t="shared" si="31"/>
        <v>36.985520604809203</v>
      </c>
    </row>
    <row r="76" spans="1:24" x14ac:dyDescent="0.25">
      <c r="I76">
        <v>76</v>
      </c>
      <c r="K76">
        <f t="shared" si="28"/>
        <v>13.709090912499999</v>
      </c>
      <c r="L76">
        <f t="shared" si="29"/>
        <v>21.077883806414174</v>
      </c>
      <c r="M76">
        <v>76</v>
      </c>
      <c r="O76">
        <f t="shared" si="30"/>
        <v>13.709090912499999</v>
      </c>
      <c r="P76">
        <f t="shared" si="31"/>
        <v>37.28377329505642</v>
      </c>
    </row>
    <row r="77" spans="1:24" x14ac:dyDescent="0.25">
      <c r="I77">
        <v>77</v>
      </c>
      <c r="K77">
        <f t="shared" si="28"/>
        <v>13.854545458</v>
      </c>
      <c r="L77">
        <f t="shared" si="29"/>
        <v>21.339448945398665</v>
      </c>
      <c r="M77">
        <v>77</v>
      </c>
      <c r="O77">
        <f t="shared" si="30"/>
        <v>13.854545458</v>
      </c>
      <c r="P77">
        <f t="shared" si="31"/>
        <v>37.582653715081697</v>
      </c>
    </row>
    <row r="78" spans="1:24" x14ac:dyDescent="0.25">
      <c r="I78">
        <v>78</v>
      </c>
      <c r="K78">
        <f t="shared" si="28"/>
        <v>14.000000003499999</v>
      </c>
      <c r="L78">
        <f t="shared" si="29"/>
        <v>21.60039067058144</v>
      </c>
      <c r="M78">
        <v>78</v>
      </c>
      <c r="O78">
        <f t="shared" si="30"/>
        <v>14.000000003499999</v>
      </c>
      <c r="P78">
        <f t="shared" si="31"/>
        <v>37.88215754890868</v>
      </c>
    </row>
    <row r="79" spans="1:24" x14ac:dyDescent="0.25">
      <c r="I79">
        <v>79</v>
      </c>
      <c r="K79">
        <f t="shared" si="28"/>
        <v>14.145454549</v>
      </c>
      <c r="L79">
        <f t="shared" si="29"/>
        <v>21.8607134006824</v>
      </c>
      <c r="M79">
        <v>79</v>
      </c>
      <c r="O79">
        <f t="shared" si="30"/>
        <v>14.145454549</v>
      </c>
      <c r="P79">
        <f t="shared" si="31"/>
        <v>38.182280377817492</v>
      </c>
    </row>
    <row r="80" spans="1:24" x14ac:dyDescent="0.25">
      <c r="I80">
        <v>80</v>
      </c>
      <c r="K80">
        <f t="shared" si="28"/>
        <v>14.290909094500002</v>
      </c>
      <c r="L80">
        <f t="shared" si="29"/>
        <v>22.120421652599447</v>
      </c>
      <c r="M80">
        <v>80</v>
      </c>
      <c r="O80">
        <f t="shared" si="30"/>
        <v>14.290909094500002</v>
      </c>
      <c r="P80">
        <f t="shared" si="31"/>
        <v>38.483017684910209</v>
      </c>
    </row>
    <row r="81" spans="9:16" x14ac:dyDescent="0.25">
      <c r="I81">
        <v>81</v>
      </c>
      <c r="K81">
        <f t="shared" si="28"/>
        <v>14.43636364</v>
      </c>
      <c r="L81">
        <f t="shared" si="29"/>
        <v>22.379520036821589</v>
      </c>
      <c r="M81">
        <v>81</v>
      </c>
      <c r="O81">
        <f t="shared" si="30"/>
        <v>14.43636364</v>
      </c>
      <c r="P81">
        <f t="shared" si="31"/>
        <v>38.784364859697824</v>
      </c>
    </row>
    <row r="82" spans="9:16" x14ac:dyDescent="0.25">
      <c r="I82">
        <v>82</v>
      </c>
      <c r="K82">
        <f t="shared" si="28"/>
        <v>14.581818185500001</v>
      </c>
      <c r="L82">
        <f t="shared" si="29"/>
        <v>22.638013252830049</v>
      </c>
      <c r="M82">
        <v>82</v>
      </c>
      <c r="O82">
        <f t="shared" si="30"/>
        <v>14.581818185500001</v>
      </c>
      <c r="P82">
        <f t="shared" si="31"/>
        <v>39.086317202699135</v>
      </c>
    </row>
    <row r="83" spans="9:16" x14ac:dyDescent="0.25">
      <c r="I83">
        <v>83</v>
      </c>
      <c r="K83">
        <f t="shared" si="28"/>
        <v>14.727272730999999</v>
      </c>
      <c r="L83">
        <f t="shared" si="29"/>
        <v>22.895906084496577</v>
      </c>
      <c r="M83">
        <v>83</v>
      </c>
      <c r="O83">
        <f t="shared" si="30"/>
        <v>14.727272730999999</v>
      </c>
      <c r="P83">
        <f t="shared" si="31"/>
        <v>39.388869930042361</v>
      </c>
    </row>
    <row r="84" spans="9:16" x14ac:dyDescent="0.25">
      <c r="I84">
        <v>84</v>
      </c>
      <c r="K84">
        <f t="shared" si="28"/>
        <v>14.872727276500001</v>
      </c>
      <c r="L84">
        <f t="shared" si="29"/>
        <v>23.153203395487864</v>
      </c>
      <c r="M84">
        <v>84</v>
      </c>
      <c r="O84">
        <f t="shared" si="30"/>
        <v>14.872727276500001</v>
      </c>
      <c r="P84">
        <f t="shared" si="31"/>
        <v>39.692018178060842</v>
      </c>
    </row>
    <row r="85" spans="9:16" x14ac:dyDescent="0.25">
      <c r="I85">
        <v>85</v>
      </c>
      <c r="K85">
        <f t="shared" si="28"/>
        <v>15.018181821999999</v>
      </c>
      <c r="L85">
        <f t="shared" si="29"/>
        <v>23.409910124684579</v>
      </c>
      <c r="M85">
        <v>85</v>
      </c>
      <c r="O85">
        <f t="shared" si="30"/>
        <v>15.018181821999999</v>
      </c>
      <c r="P85">
        <f t="shared" si="31"/>
        <v>39.995757007873884</v>
      </c>
    </row>
    <row r="86" spans="9:16" x14ac:dyDescent="0.25">
      <c r="I86">
        <v>86</v>
      </c>
      <c r="K86">
        <f t="shared" si="28"/>
        <v>15.163636367500001</v>
      </c>
      <c r="L86">
        <f t="shared" si="29"/>
        <v>23.666031281623273</v>
      </c>
      <c r="M86">
        <v>86</v>
      </c>
      <c r="O86">
        <f t="shared" si="30"/>
        <v>15.163636367500001</v>
      </c>
      <c r="P86">
        <f t="shared" si="31"/>
        <v>40.300081409944966</v>
      </c>
    </row>
    <row r="87" spans="9:16" x14ac:dyDescent="0.25">
      <c r="I87">
        <v>87</v>
      </c>
      <c r="K87">
        <f t="shared" si="28"/>
        <v>15.309090912999999</v>
      </c>
      <c r="L87">
        <f t="shared" si="29"/>
        <v>23.921571941969006</v>
      </c>
      <c r="M87">
        <v>87</v>
      </c>
      <c r="O87">
        <f t="shared" si="30"/>
        <v>15.309090912999999</v>
      </c>
      <c r="P87">
        <f t="shared" si="31"/>
        <v>40.604986308608986</v>
      </c>
    </row>
    <row r="88" spans="9:16" x14ac:dyDescent="0.25">
      <c r="I88">
        <v>88</v>
      </c>
      <c r="K88">
        <f t="shared" si="28"/>
        <v>15.4545454585</v>
      </c>
      <c r="L88">
        <f t="shared" si="29"/>
        <v>24.176537243026264</v>
      </c>
      <c r="M88">
        <v>88</v>
      </c>
      <c r="O88">
        <f t="shared" si="30"/>
        <v>15.4545454585</v>
      </c>
      <c r="P88">
        <f t="shared" si="31"/>
        <v>40.910466566561496</v>
      </c>
    </row>
    <row r="89" spans="9:16" x14ac:dyDescent="0.25">
      <c r="I89">
        <v>89</v>
      </c>
      <c r="K89">
        <f t="shared" si="28"/>
        <v>15.600000004000002</v>
      </c>
      <c r="L89">
        <f t="shared" si="29"/>
        <v>24.430932379295211</v>
      </c>
      <c r="M89">
        <v>89</v>
      </c>
      <c r="O89">
        <f t="shared" si="30"/>
        <v>15.600000004000002</v>
      </c>
      <c r="P89">
        <f t="shared" si="31"/>
        <v>41.216516989302306</v>
      </c>
    </row>
    <row r="90" spans="9:16" x14ac:dyDescent="0.25">
      <c r="I90">
        <v>90</v>
      </c>
      <c r="K90">
        <f t="shared" si="28"/>
        <v>15.7454545495</v>
      </c>
      <c r="L90">
        <f t="shared" si="29"/>
        <v>24.684762598080084</v>
      </c>
      <c r="M90">
        <v>90</v>
      </c>
      <c r="O90">
        <f t="shared" si="30"/>
        <v>15.7454545495</v>
      </c>
      <c r="P90">
        <f t="shared" si="31"/>
        <v>41.523132329527201</v>
      </c>
    </row>
    <row r="91" spans="9:16" x14ac:dyDescent="0.25">
      <c r="I91">
        <v>91</v>
      </c>
      <c r="K91">
        <f t="shared" si="28"/>
        <v>15.890909095000001</v>
      </c>
      <c r="L91">
        <f t="shared" si="29"/>
        <v>24.93803319515607</v>
      </c>
      <c r="M91">
        <v>91</v>
      </c>
      <c r="O91">
        <f t="shared" si="30"/>
        <v>15.890909095000001</v>
      </c>
      <c r="P91">
        <f t="shared" si="31"/>
        <v>41.830307291460983</v>
      </c>
    </row>
    <row r="92" spans="9:16" x14ac:dyDescent="0.25">
      <c r="I92">
        <v>92</v>
      </c>
      <c r="K92">
        <f t="shared" si="28"/>
        <v>16.036363640499999</v>
      </c>
      <c r="L92">
        <f t="shared" si="29"/>
        <v>25.190749510500567</v>
      </c>
      <c r="M92">
        <v>92</v>
      </c>
      <c r="O92">
        <f t="shared" si="30"/>
        <v>16.036363640499999</v>
      </c>
      <c r="P92">
        <f t="shared" si="31"/>
        <v>42.138036535126233</v>
      </c>
    </row>
    <row r="93" spans="9:16" x14ac:dyDescent="0.25">
      <c r="I93">
        <v>93</v>
      </c>
      <c r="K93">
        <f t="shared" si="28"/>
        <v>16.181818186000001</v>
      </c>
      <c r="L93">
        <f t="shared" si="29"/>
        <v>25.442916924094458</v>
      </c>
      <c r="M93">
        <v>93</v>
      </c>
      <c r="O93">
        <f t="shared" si="30"/>
        <v>16.181818186000001</v>
      </c>
      <c r="P93">
        <f t="shared" si="31"/>
        <v>42.446314680542116</v>
      </c>
    </row>
    <row r="94" spans="9:16" x14ac:dyDescent="0.25">
      <c r="I94">
        <v>94</v>
      </c>
      <c r="K94">
        <f t="shared" si="28"/>
        <v>16.327272731499999</v>
      </c>
      <c r="L94">
        <f t="shared" si="29"/>
        <v>25.694540851798358</v>
      </c>
      <c r="M94">
        <v>94</v>
      </c>
      <c r="O94">
        <f t="shared" si="30"/>
        <v>16.327272731499999</v>
      </c>
      <c r="P94">
        <f t="shared" si="31"/>
        <v>42.75513631184797</v>
      </c>
    </row>
    <row r="95" spans="9:16" x14ac:dyDescent="0.25">
      <c r="I95">
        <v>95</v>
      </c>
      <c r="K95">
        <f t="shared" si="28"/>
        <v>16.472727277000001</v>
      </c>
      <c r="L95">
        <f t="shared" si="29"/>
        <v>25.945626741308836</v>
      </c>
      <c r="M95">
        <v>95</v>
      </c>
      <c r="O95">
        <f t="shared" si="30"/>
        <v>16.472727277000001</v>
      </c>
      <c r="P95">
        <f t="shared" si="31"/>
        <v>43.064495981347257</v>
      </c>
    </row>
    <row r="96" spans="9:16" x14ac:dyDescent="0.25">
      <c r="I96">
        <v>96</v>
      </c>
      <c r="K96">
        <f t="shared" si="28"/>
        <v>16.618181822499999</v>
      </c>
      <c r="L96">
        <f t="shared" si="29"/>
        <v>26.196180068198604</v>
      </c>
      <c r="M96">
        <v>96</v>
      </c>
      <c r="O96">
        <f t="shared" si="30"/>
        <v>16.618181822499999</v>
      </c>
      <c r="P96">
        <f t="shared" si="31"/>
        <v>43.374388213467256</v>
      </c>
    </row>
    <row r="97" spans="9:16" x14ac:dyDescent="0.25">
      <c r="I97">
        <v>97</v>
      </c>
      <c r="K97">
        <f t="shared" si="28"/>
        <v>16.763636368</v>
      </c>
      <c r="L97">
        <f t="shared" ref="L97:L100" si="36">2.76983158408592+1.92653160849402*K97-7.63820533294699*(1.05555555555556+(K97-9.72222222222222)^2/227.611111111111)^0.5</f>
        <v>26.446206332044888</v>
      </c>
      <c r="M97">
        <v>97</v>
      </c>
      <c r="O97">
        <f t="shared" si="30"/>
        <v>16.763636368</v>
      </c>
      <c r="P97">
        <f t="shared" ref="P97:P100" si="37">2.76983158408592+1.92653160849402*O97+7.63820533294699*(1.05555555555556+(O97-9.72222222222222)^2/227.611111111111)^0.5</f>
        <v>43.684807508630733</v>
      </c>
    </row>
    <row r="98" spans="9:16" x14ac:dyDescent="0.25">
      <c r="I98">
        <v>98</v>
      </c>
      <c r="K98">
        <f t="shared" si="28"/>
        <v>16.909090913500002</v>
      </c>
      <c r="L98">
        <f t="shared" si="36"/>
        <v>26.695711052649333</v>
      </c>
      <c r="M98">
        <v>98</v>
      </c>
      <c r="O98">
        <f t="shared" si="30"/>
        <v>16.909090913500002</v>
      </c>
      <c r="P98">
        <f t="shared" si="37"/>
        <v>43.99574834703607</v>
      </c>
    </row>
    <row r="99" spans="9:16" x14ac:dyDescent="0.25">
      <c r="I99">
        <v>99</v>
      </c>
      <c r="K99">
        <f t="shared" si="28"/>
        <v>17.054545459</v>
      </c>
      <c r="L99">
        <f t="shared" si="36"/>
        <v>26.94469976635262</v>
      </c>
      <c r="M99">
        <v>99</v>
      </c>
      <c r="O99">
        <f t="shared" si="30"/>
        <v>17.054545459</v>
      </c>
      <c r="P99">
        <f t="shared" si="37"/>
        <v>44.307205192342529</v>
      </c>
    </row>
    <row r="100" spans="9:16" x14ac:dyDescent="0.25">
      <c r="I100">
        <v>100</v>
      </c>
      <c r="K100">
        <f t="shared" si="28"/>
        <v>17.200000004500001</v>
      </c>
      <c r="L100">
        <f t="shared" si="36"/>
        <v>27.193178022446691</v>
      </c>
      <c r="M100">
        <v>100</v>
      </c>
      <c r="O100">
        <f t="shared" si="30"/>
        <v>17.200000004500001</v>
      </c>
      <c r="P100">
        <f t="shared" si="37"/>
        <v>44.61917249525824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6D7BC-9FD2-4D92-898A-7FD9D9202983}">
  <sheetPr codeName="Feuil3"/>
  <dimension ref="A1:W459"/>
  <sheetViews>
    <sheetView workbookViewId="0">
      <selection activeCell="H434" sqref="H434:H458"/>
    </sheetView>
  </sheetViews>
  <sheetFormatPr baseColWidth="10" defaultRowHeight="15" x14ac:dyDescent="0.25"/>
  <cols>
    <col min="2" max="2" width="20.7109375" customWidth="1"/>
    <col min="7" max="7" width="31.42578125" customWidth="1"/>
    <col min="8" max="8" width="11.42578125" style="223"/>
    <col min="23" max="23" width="33.28515625" customWidth="1"/>
  </cols>
  <sheetData>
    <row r="1" spans="1:23" ht="26.25" x14ac:dyDescent="0.4">
      <c r="A1" s="144" t="s">
        <v>152</v>
      </c>
      <c r="W1" s="167" t="s">
        <v>193</v>
      </c>
    </row>
    <row r="2" spans="1:23" ht="26.25" x14ac:dyDescent="0.4">
      <c r="A2" s="144"/>
      <c r="W2" s="168" t="s">
        <v>194</v>
      </c>
    </row>
    <row r="3" spans="1:23" ht="18.75" x14ac:dyDescent="0.3">
      <c r="A3" s="180" t="s">
        <v>219</v>
      </c>
      <c r="W3" s="168" t="s">
        <v>195</v>
      </c>
    </row>
    <row r="4" spans="1:23" x14ac:dyDescent="0.25">
      <c r="W4" s="168" t="s">
        <v>196</v>
      </c>
    </row>
    <row r="5" spans="1:23" x14ac:dyDescent="0.25">
      <c r="A5" s="183" t="s">
        <v>220</v>
      </c>
      <c r="B5" s="184" t="s">
        <v>260</v>
      </c>
      <c r="C5" s="185"/>
      <c r="D5" s="185"/>
      <c r="E5" s="185"/>
      <c r="F5" s="185"/>
      <c r="G5" s="185"/>
      <c r="H5" s="224"/>
      <c r="I5" s="185"/>
      <c r="J5" s="185"/>
      <c r="K5" s="185"/>
      <c r="W5" s="168" t="s">
        <v>197</v>
      </c>
    </row>
    <row r="6" spans="1:23" x14ac:dyDescent="0.25">
      <c r="A6" s="186"/>
      <c r="B6" s="186" t="s">
        <v>221</v>
      </c>
      <c r="C6" s="186"/>
      <c r="D6" s="186"/>
      <c r="E6" s="186"/>
      <c r="F6" s="186"/>
      <c r="G6" s="186"/>
      <c r="H6" s="225"/>
      <c r="I6" s="186"/>
      <c r="J6" s="186"/>
      <c r="K6" s="186"/>
    </row>
    <row r="7" spans="1:23" x14ac:dyDescent="0.25">
      <c r="A7" s="186"/>
      <c r="B7" s="308" t="s">
        <v>222</v>
      </c>
      <c r="C7" s="308"/>
      <c r="D7" s="308"/>
      <c r="E7" s="308"/>
      <c r="F7" s="308"/>
      <c r="G7" s="308"/>
      <c r="H7" s="308"/>
      <c r="I7" s="308"/>
      <c r="J7" s="308"/>
      <c r="K7" s="308"/>
    </row>
    <row r="8" spans="1:23" x14ac:dyDescent="0.25">
      <c r="A8" s="186"/>
      <c r="B8" s="308"/>
      <c r="C8" s="308"/>
      <c r="D8" s="308"/>
      <c r="E8" s="308"/>
      <c r="F8" s="308"/>
      <c r="G8" s="308"/>
      <c r="H8" s="308"/>
      <c r="I8" s="308"/>
      <c r="J8" s="308"/>
      <c r="K8" s="308"/>
    </row>
    <row r="9" spans="1:23" x14ac:dyDescent="0.25">
      <c r="A9" s="186"/>
      <c r="B9" s="186" t="s">
        <v>265</v>
      </c>
      <c r="C9" s="186"/>
      <c r="D9" s="186"/>
      <c r="E9" s="186"/>
      <c r="F9" s="186"/>
      <c r="G9" s="186"/>
      <c r="H9" s="225"/>
      <c r="I9" s="186"/>
      <c r="J9" s="186"/>
      <c r="K9" s="186"/>
    </row>
    <row r="10" spans="1:23" x14ac:dyDescent="0.25">
      <c r="A10" s="186"/>
      <c r="B10" s="187" t="s">
        <v>217</v>
      </c>
      <c r="C10" s="188"/>
      <c r="D10" s="188"/>
      <c r="E10" s="188"/>
      <c r="F10" s="188"/>
      <c r="G10" s="188"/>
      <c r="H10" s="225"/>
      <c r="I10" s="186"/>
      <c r="J10" s="186"/>
      <c r="K10" s="186"/>
    </row>
    <row r="11" spans="1:23" x14ac:dyDescent="0.25">
      <c r="A11" s="186"/>
      <c r="B11" s="186"/>
      <c r="C11" s="186"/>
      <c r="D11" s="186"/>
      <c r="E11" s="186"/>
      <c r="F11" s="186"/>
      <c r="G11" s="186"/>
      <c r="H11" s="225"/>
      <c r="I11" s="186"/>
      <c r="J11" s="186"/>
      <c r="K11" s="186"/>
    </row>
    <row r="12" spans="1:23" x14ac:dyDescent="0.25">
      <c r="A12" s="183" t="s">
        <v>223</v>
      </c>
      <c r="B12" s="184" t="s">
        <v>259</v>
      </c>
      <c r="C12" s="185"/>
      <c r="D12" s="185"/>
      <c r="E12" s="185"/>
      <c r="F12" s="185"/>
      <c r="G12" s="185"/>
      <c r="H12" s="224"/>
      <c r="I12" s="185"/>
      <c r="J12" s="185"/>
      <c r="K12" s="185"/>
    </row>
    <row r="13" spans="1:23" x14ac:dyDescent="0.25">
      <c r="A13" s="186"/>
      <c r="B13" s="186" t="s">
        <v>267</v>
      </c>
      <c r="C13" s="186"/>
      <c r="D13" s="186"/>
      <c r="E13" s="186"/>
      <c r="F13" s="186"/>
      <c r="G13" s="186"/>
      <c r="H13" s="225"/>
      <c r="I13" s="186"/>
      <c r="J13" s="186"/>
      <c r="K13" s="186"/>
    </row>
    <row r="14" spans="1:23" x14ac:dyDescent="0.25">
      <c r="A14" s="186"/>
      <c r="B14" s="309" t="s">
        <v>218</v>
      </c>
      <c r="C14" s="309"/>
      <c r="D14" s="309"/>
      <c r="E14" s="309"/>
      <c r="F14" s="309"/>
      <c r="G14" s="309"/>
      <c r="H14" s="309"/>
      <c r="I14" s="309"/>
      <c r="J14" s="309"/>
      <c r="K14" s="309"/>
    </row>
    <row r="15" spans="1:23" x14ac:dyDescent="0.25">
      <c r="A15" s="186"/>
      <c r="B15" s="309"/>
      <c r="C15" s="309"/>
      <c r="D15" s="309"/>
      <c r="E15" s="309"/>
      <c r="F15" s="309"/>
      <c r="G15" s="309"/>
      <c r="H15" s="309"/>
      <c r="I15" s="309"/>
      <c r="J15" s="309"/>
      <c r="K15" s="309"/>
    </row>
    <row r="16" spans="1:23" x14ac:dyDescent="0.25">
      <c r="A16" s="186"/>
      <c r="B16" s="189" t="s">
        <v>266</v>
      </c>
      <c r="C16" s="186"/>
      <c r="D16" s="186"/>
      <c r="E16" s="186"/>
      <c r="F16" s="186"/>
      <c r="G16" s="186"/>
      <c r="H16" s="225"/>
      <c r="I16" s="186"/>
      <c r="J16" s="186"/>
      <c r="K16" s="186"/>
    </row>
    <row r="17" spans="1:11" x14ac:dyDescent="0.25">
      <c r="A17" s="190"/>
      <c r="B17" s="186"/>
      <c r="C17" s="186"/>
      <c r="D17" s="186"/>
      <c r="E17" s="186"/>
      <c r="F17" s="186"/>
      <c r="G17" s="186"/>
      <c r="H17" s="225"/>
      <c r="I17" s="186"/>
      <c r="J17" s="186"/>
      <c r="K17" s="186"/>
    </row>
    <row r="19" spans="1:11" s="283" customFormat="1" ht="75.75" customHeight="1" x14ac:dyDescent="0.25">
      <c r="A19" s="282" t="s">
        <v>1</v>
      </c>
      <c r="B19" s="282" t="s">
        <v>181</v>
      </c>
      <c r="C19" s="282" t="str">
        <f>DATA!N4</f>
        <v xml:space="preserve">Score d'attention sélective (G) </v>
      </c>
      <c r="D19" s="282" t="str">
        <f>DATA!P4</f>
        <v xml:space="preserve">Score d'attention sélective (U) </v>
      </c>
      <c r="E19" s="282" t="s">
        <v>210</v>
      </c>
      <c r="F19" s="282" t="s">
        <v>227</v>
      </c>
    </row>
    <row r="20" spans="1:11" s="4" customFormat="1" x14ac:dyDescent="0.25">
      <c r="A20" s="7" t="str">
        <f>DATA!D5</f>
        <v>T1</v>
      </c>
      <c r="B20" s="7">
        <v>1</v>
      </c>
      <c r="C20" s="7">
        <f>DATA!N5</f>
        <v>3.36</v>
      </c>
      <c r="D20" s="7">
        <f>DATA!P5</f>
        <v>40</v>
      </c>
      <c r="E20" s="7">
        <f>DATA!S5</f>
        <v>16</v>
      </c>
      <c r="F20" s="7">
        <f>DATA!G5</f>
        <v>92</v>
      </c>
    </row>
    <row r="21" spans="1:11" s="4" customFormat="1" x14ac:dyDescent="0.25">
      <c r="A21" s="7" t="str">
        <f>DATA!D6</f>
        <v>T2</v>
      </c>
      <c r="B21" s="7">
        <v>1</v>
      </c>
      <c r="C21" s="7">
        <f>DATA!N6</f>
        <v>2.37</v>
      </c>
      <c r="D21" s="7">
        <f>DATA!P6</f>
        <v>30</v>
      </c>
      <c r="E21" s="7">
        <f>DATA!S6</f>
        <v>15</v>
      </c>
      <c r="F21" s="7">
        <f>DATA!G6</f>
        <v>95</v>
      </c>
    </row>
    <row r="22" spans="1:11" s="4" customFormat="1" x14ac:dyDescent="0.25">
      <c r="A22" s="7" t="str">
        <f>DATA!D7</f>
        <v>T3</v>
      </c>
      <c r="B22" s="7">
        <v>1</v>
      </c>
      <c r="C22" s="7">
        <f>DATA!N7</f>
        <v>5.85</v>
      </c>
      <c r="D22" s="7">
        <f>DATA!P7</f>
        <v>15</v>
      </c>
      <c r="E22" s="7">
        <f>DATA!S7</f>
        <v>7</v>
      </c>
      <c r="F22" s="7">
        <f>DATA!G7</f>
        <v>86</v>
      </c>
    </row>
    <row r="23" spans="1:11" s="4" customFormat="1" x14ac:dyDescent="0.25">
      <c r="A23" s="7" t="str">
        <f>DATA!D8</f>
        <v>T4</v>
      </c>
      <c r="B23" s="7">
        <v>1</v>
      </c>
      <c r="C23" s="7">
        <f>DATA!N8</f>
        <v>4.62</v>
      </c>
      <c r="D23" s="7">
        <f>DATA!P8</f>
        <v>28</v>
      </c>
      <c r="E23" s="7">
        <f>DATA!S8</f>
        <v>11</v>
      </c>
      <c r="F23" s="7">
        <f>DATA!G8</f>
        <v>88</v>
      </c>
    </row>
    <row r="24" spans="1:11" s="4" customFormat="1" x14ac:dyDescent="0.25">
      <c r="A24" s="7" t="str">
        <f>DATA!D9</f>
        <v>T5</v>
      </c>
      <c r="B24" s="7">
        <v>1</v>
      </c>
      <c r="C24" s="7">
        <f>DATA!N9</f>
        <v>4.75</v>
      </c>
      <c r="D24" s="7">
        <f>DATA!P9</f>
        <v>26</v>
      </c>
      <c r="E24" s="7">
        <f>DATA!S9</f>
        <v>11</v>
      </c>
      <c r="F24" s="7">
        <f>DATA!G9</f>
        <v>94</v>
      </c>
    </row>
    <row r="25" spans="1:11" s="4" customFormat="1" x14ac:dyDescent="0.25">
      <c r="A25" s="7" t="str">
        <f>DATA!D10</f>
        <v>T6</v>
      </c>
      <c r="B25" s="7">
        <v>1</v>
      </c>
      <c r="C25" s="7">
        <f>DATA!N10</f>
        <v>4.12</v>
      </c>
      <c r="D25" s="7">
        <f>DATA!P10</f>
        <v>29</v>
      </c>
      <c r="E25" s="7">
        <f>DATA!S10</f>
        <v>15</v>
      </c>
      <c r="F25" s="7">
        <f>DATA!G10</f>
        <v>89</v>
      </c>
    </row>
    <row r="26" spans="1:11" s="4" customFormat="1" x14ac:dyDescent="0.25">
      <c r="A26" s="7" t="str">
        <f>DATA!D11</f>
        <v>T7</v>
      </c>
      <c r="B26" s="7">
        <v>1</v>
      </c>
      <c r="C26" s="7">
        <f>DATA!N11</f>
        <v>3.6</v>
      </c>
      <c r="D26" s="7">
        <f>DATA!P11</f>
        <v>23</v>
      </c>
      <c r="E26" s="7">
        <f>DATA!S11</f>
        <v>8</v>
      </c>
      <c r="F26" s="7">
        <f>DATA!G11</f>
        <v>89</v>
      </c>
    </row>
    <row r="27" spans="1:11" s="4" customFormat="1" x14ac:dyDescent="0.25">
      <c r="A27" s="7" t="str">
        <f>DATA!D12</f>
        <v>T8</v>
      </c>
      <c r="B27" s="7">
        <v>1</v>
      </c>
      <c r="C27" s="7">
        <f>DATA!N12</f>
        <v>4.32</v>
      </c>
      <c r="D27" s="7">
        <f>DATA!P12</f>
        <v>24</v>
      </c>
      <c r="E27" s="7">
        <f>DATA!S12</f>
        <v>10</v>
      </c>
      <c r="F27" s="7">
        <f>DATA!G12</f>
        <v>92</v>
      </c>
    </row>
    <row r="28" spans="1:11" s="4" customFormat="1" x14ac:dyDescent="0.25">
      <c r="A28" s="7" t="str">
        <f>DATA!D13</f>
        <v>T9</v>
      </c>
      <c r="B28" s="7">
        <v>1</v>
      </c>
      <c r="C28" s="7">
        <f>DATA!N13</f>
        <v>3.87</v>
      </c>
      <c r="D28" s="7">
        <f>DATA!P13</f>
        <v>27</v>
      </c>
      <c r="E28" s="7">
        <f>DATA!S13</f>
        <v>12</v>
      </c>
      <c r="F28" s="7">
        <f>DATA!G13</f>
        <v>90</v>
      </c>
    </row>
    <row r="29" spans="1:11" s="4" customFormat="1" x14ac:dyDescent="0.25">
      <c r="A29" s="7" t="str">
        <f>DATA!D14</f>
        <v>T10</v>
      </c>
      <c r="B29" s="7">
        <v>1</v>
      </c>
      <c r="C29" s="7">
        <f>DATA!N14</f>
        <v>4.75</v>
      </c>
      <c r="D29" s="7">
        <f>DATA!P14</f>
        <v>17</v>
      </c>
      <c r="E29" s="7">
        <f>DATA!S14</f>
        <v>10</v>
      </c>
      <c r="F29" s="7">
        <f>DATA!G14</f>
        <v>91</v>
      </c>
    </row>
    <row r="30" spans="1:11" s="4" customFormat="1" x14ac:dyDescent="0.25">
      <c r="A30" s="7"/>
      <c r="B30" s="7"/>
      <c r="C30" s="7"/>
      <c r="D30" s="7"/>
      <c r="E30" s="7"/>
      <c r="F30" s="7"/>
    </row>
    <row r="31" spans="1:11" s="4" customFormat="1" x14ac:dyDescent="0.25">
      <c r="A31" s="8" t="str">
        <f>DATA!D15</f>
        <v>P1</v>
      </c>
      <c r="B31" s="8">
        <v>2</v>
      </c>
      <c r="C31" s="8">
        <f>DATA!N15</f>
        <v>4.55</v>
      </c>
      <c r="D31" s="8">
        <f>DATA!P15</f>
        <v>12</v>
      </c>
      <c r="E31" s="8">
        <f>DATA!S15</f>
        <v>5</v>
      </c>
      <c r="F31" s="8">
        <f>DATA!G15</f>
        <v>88</v>
      </c>
    </row>
    <row r="32" spans="1:11" s="4" customFormat="1" x14ac:dyDescent="0.25">
      <c r="A32" s="8" t="str">
        <f>DATA!D16</f>
        <v>P2</v>
      </c>
      <c r="B32" s="8">
        <v>2</v>
      </c>
      <c r="C32" s="8">
        <f>DATA!N16</f>
        <v>3.86</v>
      </c>
      <c r="D32" s="8">
        <f>DATA!P16</f>
        <v>20</v>
      </c>
      <c r="E32" s="8">
        <f>DATA!S16</f>
        <v>13</v>
      </c>
      <c r="F32" s="8">
        <f>DATA!G16</f>
        <v>88</v>
      </c>
    </row>
    <row r="33" spans="1:23" s="4" customFormat="1" x14ac:dyDescent="0.25">
      <c r="A33" s="8" t="str">
        <f>DATA!D17</f>
        <v>P3</v>
      </c>
      <c r="B33" s="8">
        <v>2</v>
      </c>
      <c r="C33" s="8">
        <f>DATA!N17</f>
        <v>6.72</v>
      </c>
      <c r="D33" s="8">
        <f>DATA!P17</f>
        <v>13</v>
      </c>
      <c r="E33" s="8">
        <f>DATA!S17</f>
        <v>6</v>
      </c>
      <c r="F33" s="8">
        <f>DATA!G17</f>
        <v>92</v>
      </c>
    </row>
    <row r="34" spans="1:23" s="4" customFormat="1" x14ac:dyDescent="0.25">
      <c r="A34" s="8" t="str">
        <f>DATA!D18</f>
        <v>P4</v>
      </c>
      <c r="B34" s="8">
        <v>2</v>
      </c>
      <c r="C34" s="8">
        <f>DATA!N18</f>
        <v>7.45</v>
      </c>
      <c r="D34" s="8">
        <f>DATA!P18</f>
        <v>11</v>
      </c>
      <c r="E34" s="8">
        <f>DATA!S18</f>
        <v>6</v>
      </c>
      <c r="F34" s="8">
        <f>DATA!G18</f>
        <v>89</v>
      </c>
    </row>
    <row r="35" spans="1:23" s="4" customFormat="1" x14ac:dyDescent="0.25">
      <c r="A35" s="8" t="str">
        <f>DATA!D19</f>
        <v>P5</v>
      </c>
      <c r="B35" s="8">
        <v>2</v>
      </c>
      <c r="C35" s="8">
        <f>DATA!N19</f>
        <v>9.15</v>
      </c>
      <c r="D35" s="8">
        <f>DATA!P19</f>
        <v>13</v>
      </c>
      <c r="E35" s="8">
        <f>DATA!S19</f>
        <v>4</v>
      </c>
      <c r="F35" s="8">
        <f>DATA!G19</f>
        <v>93</v>
      </c>
    </row>
    <row r="36" spans="1:23" s="4" customFormat="1" x14ac:dyDescent="0.25">
      <c r="A36" s="8" t="str">
        <f>DATA!D20</f>
        <v>P6</v>
      </c>
      <c r="B36" s="8">
        <v>2</v>
      </c>
      <c r="C36" s="8">
        <f>DATA!N20</f>
        <v>5.12</v>
      </c>
      <c r="D36" s="8">
        <f>DATA!P20</f>
        <v>17</v>
      </c>
      <c r="E36" s="8">
        <f>DATA!S20</f>
        <v>7</v>
      </c>
      <c r="F36" s="8">
        <f>DATA!G20</f>
        <v>95</v>
      </c>
    </row>
    <row r="37" spans="1:23" s="4" customFormat="1" x14ac:dyDescent="0.25">
      <c r="A37" s="8" t="str">
        <f>DATA!D21</f>
        <v>P7</v>
      </c>
      <c r="B37" s="8">
        <v>2</v>
      </c>
      <c r="C37" s="8">
        <f>DATA!N21</f>
        <v>3.82</v>
      </c>
      <c r="D37" s="8">
        <f>DATA!P21</f>
        <v>26</v>
      </c>
      <c r="E37" s="8">
        <f>DATA!S21</f>
        <v>12</v>
      </c>
      <c r="F37" s="8">
        <f>DATA!G21</f>
        <v>90</v>
      </c>
    </row>
    <row r="38" spans="1:23" s="4" customFormat="1" x14ac:dyDescent="0.25">
      <c r="A38" s="8" t="str">
        <f>DATA!D22</f>
        <v>P8</v>
      </c>
      <c r="B38" s="8">
        <v>2</v>
      </c>
      <c r="C38" s="8">
        <f>DATA!N22</f>
        <v>5.28</v>
      </c>
      <c r="D38" s="8">
        <f>DATA!P22</f>
        <v>16</v>
      </c>
      <c r="E38" s="8">
        <f>DATA!S22</f>
        <v>7</v>
      </c>
      <c r="F38" s="8">
        <f>DATA!G22</f>
        <v>96</v>
      </c>
    </row>
    <row r="39" spans="1:23" s="4" customFormat="1" x14ac:dyDescent="0.25">
      <c r="A39" s="8" t="str">
        <f>DATA!D23</f>
        <v>P9</v>
      </c>
      <c r="B39" s="8">
        <v>2</v>
      </c>
      <c r="C39" s="8">
        <f>DATA!N23</f>
        <v>5.85</v>
      </c>
      <c r="D39" s="8">
        <f>DATA!P23</f>
        <v>20</v>
      </c>
      <c r="E39" s="8">
        <f>DATA!S23</f>
        <v>8</v>
      </c>
      <c r="F39" s="8">
        <f>DATA!G23</f>
        <v>92</v>
      </c>
    </row>
    <row r="40" spans="1:23" s="4" customFormat="1" x14ac:dyDescent="0.25">
      <c r="A40" s="8" t="str">
        <f>DATA!D24</f>
        <v>P10</v>
      </c>
      <c r="B40" s="8">
        <v>2</v>
      </c>
      <c r="C40" s="8">
        <f>DATA!N24</f>
        <v>6.72</v>
      </c>
      <c r="D40" s="8">
        <f>DATA!P24</f>
        <v>17</v>
      </c>
      <c r="E40" s="8">
        <f>DATA!S24</f>
        <v>7</v>
      </c>
      <c r="F40" s="8">
        <f>DATA!G24</f>
        <v>92</v>
      </c>
    </row>
    <row r="41" spans="1:23" s="4" customFormat="1" x14ac:dyDescent="0.25">
      <c r="A41" s="8"/>
      <c r="B41" s="8"/>
      <c r="C41" s="8"/>
      <c r="D41" s="8"/>
      <c r="E41" s="8"/>
      <c r="F41" s="8"/>
    </row>
    <row r="43" spans="1:23" ht="21" customHeight="1" x14ac:dyDescent="0.35">
      <c r="A43" s="306" t="s">
        <v>258</v>
      </c>
      <c r="B43" s="222" t="s">
        <v>251</v>
      </c>
      <c r="C43" s="222"/>
      <c r="D43" s="222"/>
      <c r="E43" s="222"/>
      <c r="F43" s="222"/>
      <c r="G43" s="222"/>
      <c r="H43" s="241"/>
      <c r="I43" s="222"/>
      <c r="J43" s="222"/>
      <c r="K43" s="222"/>
      <c r="L43" s="222"/>
      <c r="M43" s="222"/>
      <c r="N43" s="222"/>
      <c r="O43" s="222"/>
      <c r="P43" s="222"/>
    </row>
    <row r="44" spans="1:23" ht="15.75" thickBot="1" x14ac:dyDescent="0.3">
      <c r="A44" s="306"/>
      <c r="W44" s="168" t="s">
        <v>195</v>
      </c>
    </row>
    <row r="45" spans="1:23" ht="15.75" thickBot="1" x14ac:dyDescent="0.3">
      <c r="A45" s="306"/>
      <c r="B45" s="242" t="s">
        <v>227</v>
      </c>
      <c r="C45" s="243"/>
      <c r="D45" s="243"/>
      <c r="E45" s="243"/>
      <c r="F45" s="243"/>
      <c r="G45" s="243"/>
      <c r="H45" s="244"/>
      <c r="I45" s="245"/>
      <c r="R45" s="119"/>
    </row>
    <row r="46" spans="1:23" x14ac:dyDescent="0.25">
      <c r="A46" s="306"/>
      <c r="B46" s="246"/>
      <c r="C46" s="247"/>
      <c r="D46" s="247"/>
      <c r="E46" s="247"/>
      <c r="F46" s="248"/>
      <c r="G46" s="248"/>
      <c r="H46" s="249"/>
      <c r="I46" s="250"/>
      <c r="R46" s="119"/>
    </row>
    <row r="47" spans="1:23" x14ac:dyDescent="0.25">
      <c r="A47" s="306"/>
      <c r="B47" s="251" t="s">
        <v>150</v>
      </c>
      <c r="C47" s="311" t="s">
        <v>151</v>
      </c>
      <c r="D47" s="311"/>
      <c r="E47" s="311"/>
      <c r="F47" s="252"/>
      <c r="G47" s="252"/>
      <c r="H47" s="253"/>
      <c r="I47" s="254"/>
      <c r="R47" s="119"/>
    </row>
    <row r="48" spans="1:23" x14ac:dyDescent="0.25">
      <c r="A48" s="306"/>
      <c r="B48" s="255"/>
      <c r="C48" s="256"/>
      <c r="D48" s="256"/>
      <c r="E48" s="256"/>
      <c r="F48" s="252"/>
      <c r="G48" s="252" t="s">
        <v>152</v>
      </c>
      <c r="H48" s="253"/>
      <c r="I48" s="254"/>
      <c r="R48" s="119"/>
    </row>
    <row r="49" spans="1:19" x14ac:dyDescent="0.25">
      <c r="A49" s="306"/>
      <c r="B49" s="251" t="s">
        <v>184</v>
      </c>
      <c r="C49" s="257"/>
      <c r="D49" s="256"/>
      <c r="E49" s="258"/>
      <c r="F49" s="252"/>
      <c r="G49" s="252"/>
      <c r="H49" s="253"/>
      <c r="I49" s="254"/>
      <c r="R49" s="119"/>
    </row>
    <row r="50" spans="1:19" x14ac:dyDescent="0.25">
      <c r="A50" s="306"/>
      <c r="B50" s="251" t="s">
        <v>268</v>
      </c>
      <c r="C50" s="256">
        <f>COUNTIF('Analyses descriptives'!$F$20:$F$41,"&lt;=85")</f>
        <v>0</v>
      </c>
      <c r="D50" s="256"/>
      <c r="E50" s="258"/>
      <c r="F50" s="310" t="s">
        <v>153</v>
      </c>
      <c r="G50" s="252" t="s">
        <v>27</v>
      </c>
      <c r="H50" s="259">
        <f>AVERAGE('Analyses descriptives'!$F$20:$F$41)</f>
        <v>91.05</v>
      </c>
      <c r="I50" s="270">
        <f>H50/12</f>
        <v>7.5874999999999995</v>
      </c>
      <c r="R50" s="119"/>
    </row>
    <row r="51" spans="1:19" x14ac:dyDescent="0.25">
      <c r="A51" s="306"/>
      <c r="B51" s="251" t="s">
        <v>269</v>
      </c>
      <c r="C51" s="256">
        <f>COUNTIFS('Analyses descriptives'!$F$20:$F$41,"&gt;=86",'Analyses descriptives'!$F$20:$F$41,"&lt;=87")</f>
        <v>1</v>
      </c>
      <c r="D51" s="256"/>
      <c r="E51" s="258"/>
      <c r="F51" s="310"/>
      <c r="G51" s="252" t="s">
        <v>28</v>
      </c>
      <c r="H51" s="259">
        <f>MEDIAN('Analyses descriptives'!$F$20:$F$41)</f>
        <v>91.5</v>
      </c>
      <c r="I51" s="270">
        <f t="shared" ref="I51:I54" si="0">H51/12</f>
        <v>7.625</v>
      </c>
      <c r="R51" s="119"/>
    </row>
    <row r="52" spans="1:19" x14ac:dyDescent="0.25">
      <c r="A52" s="306"/>
      <c r="B52" s="251" t="s">
        <v>270</v>
      </c>
      <c r="C52" s="256">
        <f>COUNTIFS('Analyses descriptives'!$F$20:$F$41,"&gt;=88",'Analyses descriptives'!$F$20:$F$41,"&lt;=89")</f>
        <v>6</v>
      </c>
      <c r="D52" s="256"/>
      <c r="E52" s="258"/>
      <c r="F52" s="310"/>
      <c r="G52" s="252" t="s">
        <v>29</v>
      </c>
      <c r="H52" s="259">
        <f>MODE('Analyses descriptives'!$F$20:$F$41)</f>
        <v>92</v>
      </c>
      <c r="I52" s="270">
        <f t="shared" si="0"/>
        <v>7.666666666666667</v>
      </c>
      <c r="R52" s="119"/>
    </row>
    <row r="53" spans="1:19" x14ac:dyDescent="0.25">
      <c r="A53" s="306"/>
      <c r="B53" s="251" t="s">
        <v>271</v>
      </c>
      <c r="C53" s="256">
        <f>COUNTIFS('Analyses descriptives'!$F$20:$F$41,"&gt;=90",'Analyses descriptives'!$F$20:$F$41,"&lt;=91")</f>
        <v>3</v>
      </c>
      <c r="D53" s="256"/>
      <c r="E53" s="258"/>
      <c r="F53" s="260"/>
      <c r="G53" s="252" t="s">
        <v>154</v>
      </c>
      <c r="H53" s="259">
        <f>MIN('Analyses descriptives'!$F$20:$F$41)</f>
        <v>86</v>
      </c>
      <c r="I53" s="270">
        <f t="shared" si="0"/>
        <v>7.166666666666667</v>
      </c>
      <c r="R53" s="119"/>
    </row>
    <row r="54" spans="1:19" x14ac:dyDescent="0.25">
      <c r="A54" s="306"/>
      <c r="B54" s="251" t="s">
        <v>272</v>
      </c>
      <c r="C54" s="256">
        <f>COUNTIFS('Analyses descriptives'!$F$20:$F$41,"&gt;=92",'Analyses descriptives'!$F$20:$F$41,"&lt;=93")</f>
        <v>6</v>
      </c>
      <c r="D54" s="256"/>
      <c r="E54" s="258"/>
      <c r="F54" s="260"/>
      <c r="G54" s="252" t="s">
        <v>155</v>
      </c>
      <c r="H54" s="259">
        <f>MAX('Analyses descriptives'!$F$20:$F$41)</f>
        <v>96</v>
      </c>
      <c r="I54" s="270">
        <f t="shared" si="0"/>
        <v>8</v>
      </c>
      <c r="R54" s="119"/>
    </row>
    <row r="55" spans="1:19" x14ac:dyDescent="0.25">
      <c r="A55" s="306"/>
      <c r="B55" s="251" t="s">
        <v>273</v>
      </c>
      <c r="C55" s="256">
        <f>COUNTIF('Analyses descriptives'!$F$20:$F$41,"&gt;=94")</f>
        <v>4</v>
      </c>
      <c r="D55" s="256"/>
      <c r="E55" s="258"/>
      <c r="F55" s="260"/>
      <c r="G55" s="252" t="s">
        <v>156</v>
      </c>
      <c r="H55" s="261">
        <f>COUNT('Analyses descriptives'!$F$20:$F$41)</f>
        <v>20</v>
      </c>
      <c r="I55" s="254"/>
      <c r="R55" s="119"/>
    </row>
    <row r="56" spans="1:19" x14ac:dyDescent="0.25">
      <c r="A56" s="306"/>
      <c r="B56" s="251"/>
      <c r="C56" s="256"/>
      <c r="D56" s="256"/>
      <c r="E56" s="258"/>
      <c r="F56" s="252"/>
      <c r="G56" s="252"/>
      <c r="H56" s="253"/>
      <c r="I56" s="254"/>
      <c r="R56" s="119"/>
    </row>
    <row r="57" spans="1:19" x14ac:dyDescent="0.25">
      <c r="A57" s="306"/>
      <c r="B57" s="251"/>
      <c r="C57" s="256"/>
      <c r="D57" s="258"/>
      <c r="E57" s="258"/>
      <c r="F57" s="310" t="s">
        <v>157</v>
      </c>
      <c r="G57" s="252" t="s">
        <v>158</v>
      </c>
      <c r="H57" s="253">
        <f>IF(OR(ISBLANK(H53),ISBLANK(H54)),"",H54-H53)</f>
        <v>10</v>
      </c>
      <c r="I57" s="270">
        <f t="shared" ref="I57:I59" si="1">H57/12</f>
        <v>0.83333333333333337</v>
      </c>
      <c r="R57" s="119"/>
    </row>
    <row r="58" spans="1:19" x14ac:dyDescent="0.25">
      <c r="A58" s="306"/>
      <c r="B58" s="251" t="s">
        <v>159</v>
      </c>
      <c r="C58" s="256">
        <f>IF(ISBLANK(C50),"",SUM(C50:C56))</f>
        <v>20</v>
      </c>
      <c r="D58" s="256"/>
      <c r="E58" s="256"/>
      <c r="F58" s="310"/>
      <c r="G58" s="252" t="s">
        <v>160</v>
      </c>
      <c r="H58" s="259">
        <f>STDEV('Analyses descriptives'!$F$20:$F$41)</f>
        <v>2.7236778540480109</v>
      </c>
      <c r="I58" s="270">
        <f t="shared" si="1"/>
        <v>0.22697315450400091</v>
      </c>
      <c r="R58" s="119"/>
    </row>
    <row r="59" spans="1:19" x14ac:dyDescent="0.25">
      <c r="A59" s="306"/>
      <c r="B59" s="251"/>
      <c r="C59" s="256"/>
      <c r="D59" s="256"/>
      <c r="E59" s="256"/>
      <c r="F59" s="310"/>
      <c r="G59" s="252" t="s">
        <v>45</v>
      </c>
      <c r="H59" s="261">
        <f>IF(ISBLANK(H58),"",H58^2)</f>
        <v>7.4184210526315777</v>
      </c>
      <c r="I59" s="270">
        <f t="shared" si="1"/>
        <v>0.61820175438596481</v>
      </c>
      <c r="R59" s="119"/>
    </row>
    <row r="60" spans="1:19" x14ac:dyDescent="0.25">
      <c r="A60" s="306"/>
      <c r="B60" s="132" t="s">
        <v>161</v>
      </c>
      <c r="C60" s="133" t="str">
        <f>IF(ISBLANK(H55),"",IF(H55=C58,"","Check"))</f>
        <v/>
      </c>
      <c r="D60" s="256"/>
      <c r="E60" s="256"/>
      <c r="F60" s="310"/>
      <c r="G60" s="252" t="s">
        <v>162</v>
      </c>
      <c r="H60" s="259">
        <f>IF(OR(ISBLANK(H50),ISBLANK(H58)),"",H58/H50)</f>
        <v>2.9914089555716759E-2</v>
      </c>
      <c r="I60" s="254"/>
      <c r="K60" s="134">
        <f>IF(H60="","",H60*100)</f>
        <v>2.9914089555716759</v>
      </c>
      <c r="L60" t="s">
        <v>163</v>
      </c>
      <c r="R60" s="119"/>
    </row>
    <row r="61" spans="1:19" ht="15" customHeight="1" x14ac:dyDescent="0.25">
      <c r="A61" s="306"/>
      <c r="B61" s="302" t="s">
        <v>164</v>
      </c>
      <c r="C61" s="303"/>
      <c r="D61" s="256"/>
      <c r="E61" s="256"/>
      <c r="F61" s="252"/>
      <c r="G61" s="252"/>
      <c r="H61" s="253"/>
      <c r="I61" s="254"/>
      <c r="K61" t="str">
        <f>IF(K60&gt;50,"vos données ne sont pas très homogènes car plus de la moitié de votre moyenne est expliquée par l'écart-type","")</f>
        <v/>
      </c>
      <c r="R61" s="119"/>
    </row>
    <row r="62" spans="1:19" x14ac:dyDescent="0.25">
      <c r="A62" s="306"/>
      <c r="B62" s="302"/>
      <c r="C62" s="303"/>
      <c r="D62" s="256"/>
      <c r="E62" s="256"/>
      <c r="F62" s="310" t="s">
        <v>165</v>
      </c>
      <c r="G62" s="252" t="s">
        <v>166</v>
      </c>
      <c r="H62" s="262">
        <f>KURT('Analyses descriptives'!$F$20:$F$41)</f>
        <v>-0.72105287952673702</v>
      </c>
      <c r="I62" s="254"/>
      <c r="R62" s="119"/>
    </row>
    <row r="63" spans="1:19" x14ac:dyDescent="0.25">
      <c r="A63" s="306"/>
      <c r="B63" s="302"/>
      <c r="C63" s="303"/>
      <c r="D63" s="256"/>
      <c r="E63" s="256"/>
      <c r="F63" s="310"/>
      <c r="G63" s="252" t="s">
        <v>167</v>
      </c>
      <c r="H63" s="262">
        <f>SKEW('Analyses descriptives'!$F$20:$F$41)</f>
        <v>0.11535050075194989</v>
      </c>
      <c r="I63" s="254"/>
      <c r="K63" t="str">
        <f>IF(H63&gt;1, "Un coefficient positif indique une distribution décalée à gauche de la médiane, et donc une queue de distribution étalée vers la droite.",IF(H63&lt;-1,"Un coefficient négatif indique une distribution décalée à droite de la médiane, et donc une queue de distribution étalée vers la gauche.","Un coefficient proche de 0 indique une distribution symétrique avec la moyenne équivalente à la médiane."))</f>
        <v>Un coefficient proche de 0 indique une distribution symétrique avec la moyenne équivalente à la médiane.</v>
      </c>
      <c r="R63" s="119"/>
    </row>
    <row r="64" spans="1:19" x14ac:dyDescent="0.25">
      <c r="A64" s="306"/>
      <c r="B64" s="302"/>
      <c r="C64" s="303"/>
      <c r="D64" s="256"/>
      <c r="E64" s="256"/>
      <c r="F64" s="310"/>
      <c r="G64" s="252" t="s">
        <v>168</v>
      </c>
      <c r="H64" s="262">
        <f>IF(OR(ISBLANK(H55),ISBLANK(H58)),"",(H59/H55)^0.5)</f>
        <v>0.60903288304621028</v>
      </c>
      <c r="I64" s="254"/>
      <c r="K64" t="s">
        <v>169</v>
      </c>
      <c r="Q64" s="135">
        <f>IF(ISBLANK(H50),"",H50-(H64*1.96))</f>
        <v>89.856295549229429</v>
      </c>
      <c r="R64" s="136" t="s">
        <v>170</v>
      </c>
      <c r="S64" s="135">
        <f>IF(ISBLANK(H50),"",H50+(H64*1.96))</f>
        <v>92.243704450770565</v>
      </c>
    </row>
    <row r="65" spans="1:18" x14ac:dyDescent="0.25">
      <c r="A65" s="306"/>
      <c r="B65" s="302"/>
      <c r="C65" s="303"/>
      <c r="D65" s="256"/>
      <c r="E65" s="256"/>
      <c r="F65" s="310"/>
      <c r="G65" s="252"/>
      <c r="H65" s="253"/>
      <c r="I65" s="254"/>
      <c r="R65" s="119"/>
    </row>
    <row r="66" spans="1:18" x14ac:dyDescent="0.25">
      <c r="A66" s="306"/>
      <c r="B66" s="263"/>
      <c r="C66" s="264"/>
      <c r="D66" s="256"/>
      <c r="E66" s="256"/>
      <c r="F66" s="310" t="s">
        <v>171</v>
      </c>
      <c r="G66" s="252" t="s">
        <v>172</v>
      </c>
      <c r="H66" s="253">
        <f>QUARTILE('Analyses descriptives'!$F$20:$F$41,1)</f>
        <v>89</v>
      </c>
      <c r="I66" s="270">
        <f t="shared" ref="I66:I69" si="2">H66/12</f>
        <v>7.416666666666667</v>
      </c>
      <c r="R66" s="119"/>
    </row>
    <row r="67" spans="1:18" x14ac:dyDescent="0.25">
      <c r="A67" s="306"/>
      <c r="B67" s="263"/>
      <c r="C67" s="264"/>
      <c r="D67" s="256"/>
      <c r="E67" s="256"/>
      <c r="F67" s="310"/>
      <c r="G67" s="252" t="s">
        <v>173</v>
      </c>
      <c r="H67" s="253">
        <f>QUARTILE('Analyses descriptives'!$F$20:$F$41,2)</f>
        <v>91.5</v>
      </c>
      <c r="I67" s="270">
        <f t="shared" si="2"/>
        <v>7.625</v>
      </c>
      <c r="R67" s="119"/>
    </row>
    <row r="68" spans="1:18" x14ac:dyDescent="0.25">
      <c r="A68" s="306"/>
      <c r="B68" s="255"/>
      <c r="C68" s="256"/>
      <c r="D68" s="256"/>
      <c r="E68" s="256"/>
      <c r="F68" s="310"/>
      <c r="G68" s="252" t="s">
        <v>174</v>
      </c>
      <c r="H68" s="253">
        <f>QUARTILE('Analyses descriptives'!$F$20:$F$41,3)</f>
        <v>92.25</v>
      </c>
      <c r="I68" s="270">
        <f t="shared" si="2"/>
        <v>7.6875</v>
      </c>
      <c r="R68" s="119"/>
    </row>
    <row r="69" spans="1:18" x14ac:dyDescent="0.25">
      <c r="A69" s="306"/>
      <c r="B69" s="255"/>
      <c r="C69" s="256"/>
      <c r="D69" s="256"/>
      <c r="E69" s="256"/>
      <c r="F69" s="310"/>
      <c r="G69" s="252" t="s">
        <v>175</v>
      </c>
      <c r="H69" s="253">
        <f>QUARTILE('Analyses descriptives'!$F$20:$F$41,4)</f>
        <v>96</v>
      </c>
      <c r="I69" s="270">
        <f t="shared" si="2"/>
        <v>8</v>
      </c>
      <c r="R69" s="119"/>
    </row>
    <row r="70" spans="1:18" x14ac:dyDescent="0.25">
      <c r="A70" s="306"/>
      <c r="B70" s="255"/>
      <c r="C70" s="256"/>
      <c r="D70" s="256"/>
      <c r="E70" s="256"/>
      <c r="F70" s="252"/>
      <c r="G70" s="252"/>
      <c r="H70" s="253"/>
      <c r="I70" s="254"/>
      <c r="R70" s="119"/>
    </row>
    <row r="71" spans="1:18" x14ac:dyDescent="0.25">
      <c r="A71" s="306"/>
      <c r="B71" s="255"/>
      <c r="C71" s="256"/>
      <c r="D71" s="256"/>
      <c r="E71" s="256"/>
      <c r="F71" s="310" t="s">
        <v>176</v>
      </c>
      <c r="G71" s="252" t="s">
        <v>177</v>
      </c>
      <c r="H71" s="259">
        <f>IF(ISBLANK(H58),"",H50-1.96*H58)</f>
        <v>85.711591406065892</v>
      </c>
      <c r="I71" s="270">
        <f>H71/12</f>
        <v>7.1426326171721577</v>
      </c>
      <c r="R71" s="119"/>
    </row>
    <row r="72" spans="1:18" x14ac:dyDescent="0.25">
      <c r="A72" s="306"/>
      <c r="B72" s="255"/>
      <c r="C72" s="256"/>
      <c r="D72" s="256"/>
      <c r="E72" s="256"/>
      <c r="F72" s="310"/>
      <c r="G72" s="252" t="s">
        <v>178</v>
      </c>
      <c r="H72" s="253">
        <f>IF(ISBLANK(H58),"",COUNTIF('Analyses descriptives'!$F$20:$F$41,"&lt;"&amp;H71))</f>
        <v>0</v>
      </c>
      <c r="I72" s="254"/>
      <c r="K72" t="str">
        <f>IF(OR(ISBLANK(H58),H72=0),"","Au niveau de la distribution, il existe" )</f>
        <v/>
      </c>
      <c r="L72" t="str">
        <f>IF(H72=0,"",H72)</f>
        <v/>
      </c>
      <c r="M72" t="str">
        <f>IF(OR(ISBLANK(H58),H72=0),"","valeurs extrêmes à gauche. Vous devez considérer ce fait lors de vos analyses statistiques car cela peut introduire des biais ou diminuer la significativité de certains tests" )</f>
        <v/>
      </c>
      <c r="R72" s="119"/>
    </row>
    <row r="73" spans="1:18" x14ac:dyDescent="0.25">
      <c r="A73" s="306"/>
      <c r="B73" s="255"/>
      <c r="C73" s="256"/>
      <c r="D73" s="256"/>
      <c r="E73" s="256"/>
      <c r="F73" s="310"/>
      <c r="G73" s="252" t="s">
        <v>179</v>
      </c>
      <c r="H73" s="259">
        <f>IF(ISBLANK(H58),"",H50+1.96*H58)</f>
        <v>96.388408593934102</v>
      </c>
      <c r="I73" s="270">
        <f>H73/12</f>
        <v>8.0323673828278412</v>
      </c>
      <c r="R73" s="119"/>
    </row>
    <row r="74" spans="1:18" x14ac:dyDescent="0.25">
      <c r="A74" s="306"/>
      <c r="B74" s="255"/>
      <c r="C74" s="256"/>
      <c r="D74" s="256"/>
      <c r="E74" s="256"/>
      <c r="F74" s="310"/>
      <c r="G74" s="252" t="s">
        <v>180</v>
      </c>
      <c r="H74" s="253">
        <f>IF(ISBLANK(H58),"",COUNTIF('Analyses descriptives'!$F$20:$F$41,"&gt;"&amp;H73))</f>
        <v>0</v>
      </c>
      <c r="I74" s="254"/>
      <c r="K74" t="str">
        <f>IF(OR(ISBLANK(H58),H74=0),"","Au niveau de la distribution, il existe" )</f>
        <v/>
      </c>
      <c r="L74" t="str">
        <f>IF(H74=0,"",H74)</f>
        <v/>
      </c>
      <c r="M74" t="str">
        <f>IF(OR(ISBLANK(H58),H74=0),"","valeurs extrêmes à droite. Vous devez considérer ce fait lors de vos analyses statistiques car cela peut introduire des biais ou diminuer la significativité de certains tests" )</f>
        <v/>
      </c>
      <c r="R74" s="119"/>
    </row>
    <row r="75" spans="1:18" ht="15.75" thickBot="1" x14ac:dyDescent="0.3">
      <c r="A75" s="306"/>
      <c r="B75" s="265"/>
      <c r="C75" s="266"/>
      <c r="D75" s="266"/>
      <c r="E75" s="266"/>
      <c r="F75" s="267"/>
      <c r="G75" s="267"/>
      <c r="H75" s="268"/>
      <c r="I75" s="269"/>
      <c r="R75" s="119"/>
    </row>
    <row r="76" spans="1:18" x14ac:dyDescent="0.25">
      <c r="A76" s="306"/>
    </row>
    <row r="77" spans="1:18" x14ac:dyDescent="0.25">
      <c r="A77" s="306"/>
    </row>
    <row r="78" spans="1:18" ht="15.75" thickBot="1" x14ac:dyDescent="0.3">
      <c r="A78" s="306"/>
    </row>
    <row r="79" spans="1:18" ht="15.75" thickBot="1" x14ac:dyDescent="0.3">
      <c r="A79" s="306"/>
      <c r="B79" s="145" t="str">
        <f>B361</f>
        <v>Note standard Equilibre</v>
      </c>
      <c r="C79" s="146"/>
      <c r="D79" s="146"/>
      <c r="E79" s="146"/>
      <c r="F79" s="146"/>
      <c r="G79" s="146"/>
      <c r="H79" s="233"/>
      <c r="I79" s="147"/>
      <c r="R79" s="119"/>
    </row>
    <row r="80" spans="1:18" x14ac:dyDescent="0.25">
      <c r="A80" s="306"/>
      <c r="B80" s="148"/>
      <c r="C80" s="149"/>
      <c r="D80" s="149"/>
      <c r="E80" s="149"/>
      <c r="F80" s="150"/>
      <c r="G80" s="150"/>
      <c r="H80" s="234"/>
      <c r="I80" s="151"/>
      <c r="R80" s="119"/>
    </row>
    <row r="81" spans="1:18" x14ac:dyDescent="0.25">
      <c r="A81" s="306"/>
      <c r="B81" s="152" t="s">
        <v>150</v>
      </c>
      <c r="C81" s="279" t="s">
        <v>151</v>
      </c>
      <c r="D81" s="279"/>
      <c r="E81" s="279"/>
      <c r="F81" s="153"/>
      <c r="G81" s="153"/>
      <c r="H81" s="235"/>
      <c r="I81" s="155"/>
      <c r="R81" s="119"/>
    </row>
    <row r="82" spans="1:18" x14ac:dyDescent="0.25">
      <c r="A82" s="306"/>
      <c r="B82" s="156"/>
      <c r="C82" s="154"/>
      <c r="D82" s="154"/>
      <c r="E82" s="154"/>
      <c r="F82" s="153"/>
      <c r="G82" s="153" t="s">
        <v>152</v>
      </c>
      <c r="H82" s="235"/>
      <c r="I82" s="155"/>
      <c r="R82" s="119"/>
    </row>
    <row r="83" spans="1:18" x14ac:dyDescent="0.25">
      <c r="A83" s="306"/>
      <c r="B83" s="152" t="s">
        <v>184</v>
      </c>
      <c r="C83" s="157"/>
      <c r="D83" s="154"/>
      <c r="E83" s="158"/>
      <c r="F83" s="153"/>
      <c r="G83" s="153"/>
      <c r="H83" s="235"/>
      <c r="I83" s="155"/>
      <c r="R83" s="119"/>
    </row>
    <row r="84" spans="1:18" ht="15" customHeight="1" x14ac:dyDescent="0.25">
      <c r="A84" s="306"/>
      <c r="B84" s="152" t="s">
        <v>243</v>
      </c>
      <c r="C84" s="154">
        <f>COUNTIF('Analyses descriptives'!$E$20:$E$41,"&lt;4")</f>
        <v>0</v>
      </c>
      <c r="D84" s="154"/>
      <c r="E84" s="158"/>
      <c r="F84" s="305" t="s">
        <v>153</v>
      </c>
      <c r="G84" s="153" t="s">
        <v>27</v>
      </c>
      <c r="H84" s="236">
        <f>AVERAGE('Analyses descriptives'!$E$20:$E$41)</f>
        <v>9.5</v>
      </c>
      <c r="I84" s="155"/>
      <c r="R84" s="119"/>
    </row>
    <row r="85" spans="1:18" x14ac:dyDescent="0.25">
      <c r="A85" s="306"/>
      <c r="B85" s="152" t="s">
        <v>244</v>
      </c>
      <c r="C85" s="154">
        <f>COUNTIFS('Analyses descriptives'!$E$20:$E$41,"&gt;=4",'Analyses descriptives'!$E$20:$E$41,"&lt;8")</f>
        <v>8</v>
      </c>
      <c r="D85" s="154"/>
      <c r="E85" s="158"/>
      <c r="F85" s="305"/>
      <c r="G85" s="153" t="s">
        <v>28</v>
      </c>
      <c r="H85" s="236">
        <f>MEDIAN('Analyses descriptives'!$E$20:$E$41)</f>
        <v>9</v>
      </c>
      <c r="I85" s="155"/>
      <c r="R85" s="119"/>
    </row>
    <row r="86" spans="1:18" x14ac:dyDescent="0.25">
      <c r="A86" s="306"/>
      <c r="B86" s="152" t="s">
        <v>245</v>
      </c>
      <c r="C86" s="154">
        <f>COUNTIFS('Analyses descriptives'!$E$20:$E$41,"&gt;=8",'Analyses descriptives'!$E$20:$E$41,"&lt;12")</f>
        <v>6</v>
      </c>
      <c r="D86" s="154"/>
      <c r="E86" s="158"/>
      <c r="F86" s="305"/>
      <c r="G86" s="153" t="s">
        <v>29</v>
      </c>
      <c r="H86" s="236">
        <f>MODE('Analyses descriptives'!$E$20:$E$41)</f>
        <v>7</v>
      </c>
      <c r="I86" s="155"/>
      <c r="R86" s="119"/>
    </row>
    <row r="87" spans="1:18" x14ac:dyDescent="0.25">
      <c r="A87" s="306"/>
      <c r="B87" s="152" t="s">
        <v>246</v>
      </c>
      <c r="C87" s="154">
        <f>COUNTIFS('Analyses descriptives'!$E$20:$E$41,"&gt;=12",'Analyses descriptives'!$E$20:$E$41,"&lt;16")</f>
        <v>5</v>
      </c>
      <c r="D87" s="154"/>
      <c r="E87" s="158"/>
      <c r="F87" s="159"/>
      <c r="G87" s="153" t="s">
        <v>154</v>
      </c>
      <c r="H87" s="236">
        <f>MIN('Analyses descriptives'!$E$20:$E$41)</f>
        <v>4</v>
      </c>
      <c r="I87" s="155"/>
      <c r="R87" s="119"/>
    </row>
    <row r="88" spans="1:18" x14ac:dyDescent="0.25">
      <c r="A88" s="306"/>
      <c r="B88" s="152" t="s">
        <v>247</v>
      </c>
      <c r="C88" s="154">
        <f>COUNTIFS('Analyses descriptives'!$E$20:$E$41,"&gt;=16",'Analyses descriptives'!$E$20:$E$41,"&lt;20")</f>
        <v>1</v>
      </c>
      <c r="D88" s="154"/>
      <c r="E88" s="158"/>
      <c r="F88" s="159"/>
      <c r="G88" s="153" t="s">
        <v>155</v>
      </c>
      <c r="H88" s="236">
        <f>MAX('Analyses descriptives'!$E$20:$E$41)</f>
        <v>16</v>
      </c>
      <c r="I88" s="155"/>
      <c r="R88" s="119"/>
    </row>
    <row r="89" spans="1:18" x14ac:dyDescent="0.25">
      <c r="A89" s="306"/>
      <c r="B89" s="152" t="s">
        <v>248</v>
      </c>
      <c r="C89" s="154">
        <f>COUNTIF('Analyses descriptives'!$E$20:$E$41,"&gt;=20")</f>
        <v>0</v>
      </c>
      <c r="D89" s="154"/>
      <c r="E89" s="158"/>
      <c r="F89" s="159"/>
      <c r="G89" s="153" t="s">
        <v>156</v>
      </c>
      <c r="H89" s="237">
        <f>COUNT('Analyses descriptives'!$E$20:$E$41)</f>
        <v>20</v>
      </c>
      <c r="I89" s="155"/>
      <c r="R89" s="119"/>
    </row>
    <row r="90" spans="1:18" x14ac:dyDescent="0.25">
      <c r="A90" s="306"/>
      <c r="B90" s="152"/>
      <c r="C90" s="154"/>
      <c r="D90" s="154"/>
      <c r="E90" s="158"/>
      <c r="F90" s="153"/>
      <c r="G90" s="153"/>
      <c r="H90" s="235"/>
      <c r="I90" s="155"/>
      <c r="R90" s="119"/>
    </row>
    <row r="91" spans="1:18" ht="15" customHeight="1" x14ac:dyDescent="0.25">
      <c r="A91" s="306"/>
      <c r="B91" s="152"/>
      <c r="C91" s="154"/>
      <c r="D91" s="158"/>
      <c r="E91" s="158"/>
      <c r="F91" s="305" t="s">
        <v>157</v>
      </c>
      <c r="G91" s="153" t="s">
        <v>158</v>
      </c>
      <c r="H91" s="235">
        <f>IF(OR(ISBLANK(H87),ISBLANK(H88)),"",H88-H87)</f>
        <v>12</v>
      </c>
      <c r="I91" s="155"/>
      <c r="R91" s="119"/>
    </row>
    <row r="92" spans="1:18" x14ac:dyDescent="0.25">
      <c r="A92" s="306"/>
      <c r="B92" s="152" t="s">
        <v>159</v>
      </c>
      <c r="C92" s="154">
        <f>IF(ISBLANK(C84),"",SUM(C84:C90))</f>
        <v>20</v>
      </c>
      <c r="D92" s="154"/>
      <c r="E92" s="154"/>
      <c r="F92" s="305"/>
      <c r="G92" s="153" t="s">
        <v>160</v>
      </c>
      <c r="H92" s="236">
        <f>STDEV('Analyses descriptives'!$E$20:$E$41)</f>
        <v>3.5318103304858139</v>
      </c>
      <c r="I92" s="155"/>
      <c r="R92" s="119"/>
    </row>
    <row r="93" spans="1:18" x14ac:dyDescent="0.25">
      <c r="A93" s="306"/>
      <c r="B93" s="152"/>
      <c r="C93" s="154"/>
      <c r="D93" s="154"/>
      <c r="E93" s="154"/>
      <c r="F93" s="305"/>
      <c r="G93" s="153" t="s">
        <v>45</v>
      </c>
      <c r="H93" s="237">
        <f>IF(ISBLANK(H92),"",H92^2)</f>
        <v>12.473684210526315</v>
      </c>
      <c r="I93" s="155"/>
      <c r="R93" s="119"/>
    </row>
    <row r="94" spans="1:18" x14ac:dyDescent="0.25">
      <c r="A94" s="306"/>
      <c r="B94" s="132" t="s">
        <v>161</v>
      </c>
      <c r="C94" s="133" t="str">
        <f>IF(ISBLANK(H89),"",IF(H89=C92,"","Check"))</f>
        <v/>
      </c>
      <c r="D94" s="154"/>
      <c r="E94" s="154"/>
      <c r="F94" s="305"/>
      <c r="G94" s="153" t="s">
        <v>162</v>
      </c>
      <c r="H94" s="236">
        <f>IF(OR(ISBLANK(H84),ISBLANK(H92)),"",H92/H84)</f>
        <v>0.37176950847219092</v>
      </c>
      <c r="I94" s="155"/>
      <c r="K94" s="134">
        <f>IF(H94="","",H94*100)</f>
        <v>37.176950847219089</v>
      </c>
      <c r="L94" t="s">
        <v>163</v>
      </c>
      <c r="R94" s="119"/>
    </row>
    <row r="95" spans="1:18" ht="15" customHeight="1" x14ac:dyDescent="0.25">
      <c r="A95" s="306"/>
      <c r="B95" s="302" t="s">
        <v>274</v>
      </c>
      <c r="C95" s="303"/>
      <c r="D95" s="154"/>
      <c r="E95" s="154"/>
      <c r="F95" s="153"/>
      <c r="G95" s="153"/>
      <c r="H95" s="235"/>
      <c r="I95" s="155"/>
      <c r="K95" t="str">
        <f>IF(K94&gt;50,"vos données ne sont pas très homogènes car plus de la moitié de votre moyenne est expliquée par l'écart-type","")</f>
        <v/>
      </c>
      <c r="R95" s="119"/>
    </row>
    <row r="96" spans="1:18" ht="15" customHeight="1" x14ac:dyDescent="0.25">
      <c r="A96" s="306"/>
      <c r="B96" s="302"/>
      <c r="C96" s="303"/>
      <c r="D96" s="154"/>
      <c r="E96" s="154"/>
      <c r="F96" s="305" t="s">
        <v>165</v>
      </c>
      <c r="G96" s="153" t="s">
        <v>166</v>
      </c>
      <c r="H96" s="238">
        <f>KURT('Analyses descriptives'!$E$20:$E$41)</f>
        <v>-0.91821006563176422</v>
      </c>
      <c r="I96" s="155"/>
      <c r="R96" s="119"/>
    </row>
    <row r="97" spans="1:19" x14ac:dyDescent="0.25">
      <c r="A97" s="306"/>
      <c r="B97" s="302"/>
      <c r="C97" s="303"/>
      <c r="D97" s="154"/>
      <c r="E97" s="154"/>
      <c r="F97" s="305"/>
      <c r="G97" s="153" t="s">
        <v>167</v>
      </c>
      <c r="H97" s="238">
        <f>SKEW('Analyses descriptives'!$E$20:$E$41)</f>
        <v>0.36637080107587233</v>
      </c>
      <c r="I97" s="155"/>
      <c r="K97" t="str">
        <f>IF(H97&gt;1, "Un coefficient positif indique une distribution décalée à gauche de la médiane, et donc une queue de distribution étalée vers la droite.",IF(H97&lt;-1,"Un coefficient négatif indique une distribution décalée à droite de la médiane, et donc une queue de distribution étalée vers la gauche.","Un coefficient proche de 0 indique une distribution symétrique avec la moyenne équivalente à la médiane."))</f>
        <v>Un coefficient proche de 0 indique une distribution symétrique avec la moyenne équivalente à la médiane.</v>
      </c>
      <c r="R97" s="119"/>
    </row>
    <row r="98" spans="1:19" x14ac:dyDescent="0.25">
      <c r="A98" s="306"/>
      <c r="B98" s="302"/>
      <c r="C98" s="303"/>
      <c r="D98" s="154"/>
      <c r="E98" s="154"/>
      <c r="F98" s="305"/>
      <c r="G98" s="153" t="s">
        <v>168</v>
      </c>
      <c r="H98" s="238">
        <f>IF(OR(ISBLANK(H89),ISBLANK(H92)),"",(H93/H89)^0.5)</f>
        <v>0.7897367982602278</v>
      </c>
      <c r="I98" s="155"/>
      <c r="K98" t="s">
        <v>169</v>
      </c>
      <c r="Q98" s="135">
        <f>IF(ISBLANK(H84),"",H84-(H98*1.96))</f>
        <v>7.9521158754099535</v>
      </c>
      <c r="R98" s="136" t="s">
        <v>170</v>
      </c>
      <c r="S98" s="135">
        <f>IF(ISBLANK(H84),"",H84+(H98*1.96))</f>
        <v>11.047884124590047</v>
      </c>
    </row>
    <row r="99" spans="1:19" x14ac:dyDescent="0.25">
      <c r="A99" s="306"/>
      <c r="B99" s="302"/>
      <c r="C99" s="303"/>
      <c r="D99" s="154"/>
      <c r="E99" s="154"/>
      <c r="F99" s="305"/>
      <c r="G99" s="153"/>
      <c r="H99" s="235"/>
      <c r="I99" s="155"/>
      <c r="R99" s="119"/>
    </row>
    <row r="100" spans="1:19" ht="15" customHeight="1" x14ac:dyDescent="0.25">
      <c r="A100" s="306"/>
      <c r="B100" s="160"/>
      <c r="C100" s="161"/>
      <c r="D100" s="154"/>
      <c r="E100" s="154"/>
      <c r="F100" s="305" t="s">
        <v>171</v>
      </c>
      <c r="G100" s="153" t="s">
        <v>172</v>
      </c>
      <c r="H100" s="235">
        <f>QUARTILE('Analyses descriptives'!$E$20:$E$41,1)</f>
        <v>7</v>
      </c>
      <c r="I100" s="155"/>
      <c r="R100" s="119"/>
    </row>
    <row r="101" spans="1:19" x14ac:dyDescent="0.25">
      <c r="A101" s="306"/>
      <c r="B101" s="160"/>
      <c r="C101" s="161"/>
      <c r="D101" s="154"/>
      <c r="E101" s="154"/>
      <c r="F101" s="305"/>
      <c r="G101" s="153" t="s">
        <v>173</v>
      </c>
      <c r="H101" s="235">
        <f>QUARTILE('Analyses descriptives'!$E$20:$E$41,2)</f>
        <v>9</v>
      </c>
      <c r="I101" s="155"/>
      <c r="R101" s="119"/>
    </row>
    <row r="102" spans="1:19" x14ac:dyDescent="0.25">
      <c r="A102" s="306"/>
      <c r="B102" s="156"/>
      <c r="C102" s="154"/>
      <c r="D102" s="154"/>
      <c r="E102" s="154"/>
      <c r="F102" s="305"/>
      <c r="G102" s="153" t="s">
        <v>174</v>
      </c>
      <c r="H102" s="235">
        <f>QUARTILE('Analyses descriptives'!$E$20:$E$41,3)</f>
        <v>12</v>
      </c>
      <c r="I102" s="155"/>
      <c r="R102" s="119"/>
    </row>
    <row r="103" spans="1:19" x14ac:dyDescent="0.25">
      <c r="A103" s="306"/>
      <c r="B103" s="156"/>
      <c r="C103" s="154"/>
      <c r="D103" s="154"/>
      <c r="E103" s="154"/>
      <c r="F103" s="305"/>
      <c r="G103" s="153" t="s">
        <v>175</v>
      </c>
      <c r="H103" s="235">
        <f>QUARTILE('Analyses descriptives'!$E$20:$E$41,4)</f>
        <v>16</v>
      </c>
      <c r="I103" s="155"/>
      <c r="R103" s="119"/>
    </row>
    <row r="104" spans="1:19" x14ac:dyDescent="0.25">
      <c r="A104" s="306"/>
      <c r="B104" s="156"/>
      <c r="C104" s="154"/>
      <c r="D104" s="154"/>
      <c r="E104" s="154"/>
      <c r="F104" s="153"/>
      <c r="G104" s="153"/>
      <c r="H104" s="235"/>
      <c r="I104" s="155"/>
      <c r="R104" s="119"/>
    </row>
    <row r="105" spans="1:19" ht="15" customHeight="1" x14ac:dyDescent="0.25">
      <c r="A105" s="306"/>
      <c r="B105" s="156"/>
      <c r="C105" s="154"/>
      <c r="D105" s="154"/>
      <c r="E105" s="154"/>
      <c r="F105" s="305" t="s">
        <v>176</v>
      </c>
      <c r="G105" s="153" t="s">
        <v>177</v>
      </c>
      <c r="H105" s="236">
        <f>IF(ISBLANK(H92),"",H84-1.96*H92)</f>
        <v>2.5776517522478049</v>
      </c>
      <c r="I105" s="155"/>
      <c r="R105" s="119"/>
    </row>
    <row r="106" spans="1:19" x14ac:dyDescent="0.25">
      <c r="A106" s="306"/>
      <c r="B106" s="156"/>
      <c r="C106" s="154"/>
      <c r="D106" s="154"/>
      <c r="E106" s="154"/>
      <c r="F106" s="305"/>
      <c r="G106" s="153" t="s">
        <v>178</v>
      </c>
      <c r="H106" s="235">
        <f>IF(ISBLANK(H92),"",COUNTIF('Analyses descriptives'!$E$20:$E$41,"&lt;"&amp;H105))</f>
        <v>0</v>
      </c>
      <c r="I106" s="155"/>
      <c r="K106" t="str">
        <f>IF(OR(ISBLANK(H92),H106=0),"","Au niveau de la distribution, il existe" )</f>
        <v/>
      </c>
      <c r="L106" t="str">
        <f>IF(H106=0,"",H106)</f>
        <v/>
      </c>
      <c r="M106" t="str">
        <f>IF(OR(ISBLANK(H92),H106=0),"","valeurs extrêmes à gauche. Vous devez considérer ce fait lors de vos analyses statistiques car cela peut introduire des biais ou diminuer la significativité de certains tests" )</f>
        <v/>
      </c>
      <c r="R106" s="119"/>
    </row>
    <row r="107" spans="1:19" x14ac:dyDescent="0.25">
      <c r="A107" s="306"/>
      <c r="B107" s="156"/>
      <c r="C107" s="154"/>
      <c r="D107" s="154"/>
      <c r="E107" s="154"/>
      <c r="F107" s="305"/>
      <c r="G107" s="153" t="s">
        <v>179</v>
      </c>
      <c r="H107" s="236">
        <f>IF(ISBLANK(H92),"",H84+1.96*H92)</f>
        <v>16.422348247752197</v>
      </c>
      <c r="I107" s="155"/>
      <c r="R107" s="119"/>
    </row>
    <row r="108" spans="1:19" x14ac:dyDescent="0.25">
      <c r="A108" s="306"/>
      <c r="B108" s="156"/>
      <c r="C108" s="154"/>
      <c r="D108" s="154"/>
      <c r="E108" s="154"/>
      <c r="F108" s="305"/>
      <c r="G108" s="153" t="s">
        <v>180</v>
      </c>
      <c r="H108" s="235">
        <f>IF(ISBLANK(H92),"",COUNTIF('Analyses descriptives'!$E$20:$E$41,"&gt;"&amp;H107))</f>
        <v>0</v>
      </c>
      <c r="I108" s="155"/>
      <c r="K108" t="str">
        <f>IF(OR(ISBLANK(H92),H108=0),"","Au niveau de la distribution, il existe" )</f>
        <v/>
      </c>
      <c r="L108" t="str">
        <f>IF(H108=0,"",H108)</f>
        <v/>
      </c>
      <c r="M108" t="str">
        <f>IF(OR(ISBLANK(H92),H108=0),"","valeurs extrêmes à droite. Vous devez considérer ce fait lors de vos analyses statistiques car cela peut introduire des biais ou diminuer la significativité de certains tests" )</f>
        <v/>
      </c>
      <c r="R108" s="119"/>
    </row>
    <row r="109" spans="1:19" ht="15.75" thickBot="1" x14ac:dyDescent="0.3">
      <c r="A109" s="306"/>
      <c r="B109" s="162"/>
      <c r="C109" s="163"/>
      <c r="D109" s="163"/>
      <c r="E109" s="163"/>
      <c r="F109" s="164"/>
      <c r="G109" s="164"/>
      <c r="H109" s="239"/>
      <c r="I109" s="165"/>
      <c r="R109" s="119"/>
    </row>
    <row r="110" spans="1:19" x14ac:dyDescent="0.25">
      <c r="A110" s="271"/>
    </row>
    <row r="111" spans="1:19" x14ac:dyDescent="0.25">
      <c r="A111" s="271"/>
    </row>
    <row r="112" spans="1:19" ht="15.75" thickBot="1" x14ac:dyDescent="0.3">
      <c r="A112" s="271"/>
    </row>
    <row r="113" spans="1:23" ht="15.75" thickBot="1" x14ac:dyDescent="0.3">
      <c r="A113" s="281"/>
      <c r="B113" s="116" t="str">
        <f>B395</f>
        <v xml:space="preserve">Score d'attention sélective (G) </v>
      </c>
      <c r="C113" s="117"/>
      <c r="D113" s="117"/>
      <c r="E113" s="117"/>
      <c r="F113" s="117"/>
      <c r="G113" s="117"/>
      <c r="H113" s="227"/>
      <c r="I113" s="118"/>
      <c r="R113" s="119"/>
      <c r="W113" s="168" t="s">
        <v>196</v>
      </c>
    </row>
    <row r="114" spans="1:23" x14ac:dyDescent="0.25">
      <c r="A114" s="281"/>
      <c r="B114" s="120"/>
      <c r="C114" s="121"/>
      <c r="D114" s="121"/>
      <c r="E114" s="121"/>
      <c r="F114" s="122"/>
      <c r="G114" s="122"/>
      <c r="H114" s="228"/>
      <c r="I114" s="123"/>
      <c r="R114" s="119"/>
      <c r="W114" s="168" t="s">
        <v>197</v>
      </c>
    </row>
    <row r="115" spans="1:23" x14ac:dyDescent="0.25">
      <c r="A115" s="281"/>
      <c r="B115" s="124" t="s">
        <v>150</v>
      </c>
      <c r="C115" s="280" t="s">
        <v>197</v>
      </c>
      <c r="D115" s="280"/>
      <c r="E115" s="280"/>
      <c r="F115" s="125"/>
      <c r="G115" s="125"/>
      <c r="H115" s="229"/>
      <c r="I115" s="127"/>
      <c r="R115" s="119"/>
    </row>
    <row r="116" spans="1:23" x14ac:dyDescent="0.25">
      <c r="A116" s="281"/>
      <c r="B116" s="128"/>
      <c r="C116" s="126"/>
      <c r="D116" s="126"/>
      <c r="E116" s="126"/>
      <c r="F116" s="125"/>
      <c r="G116" s="125" t="s">
        <v>152</v>
      </c>
      <c r="H116" s="229"/>
      <c r="I116" s="127"/>
      <c r="R116" s="119"/>
    </row>
    <row r="117" spans="1:23" x14ac:dyDescent="0.25">
      <c r="A117" s="281"/>
      <c r="B117" s="124" t="s">
        <v>184</v>
      </c>
      <c r="C117" s="129"/>
      <c r="D117" s="126"/>
      <c r="E117" s="130"/>
      <c r="F117" s="125"/>
      <c r="G117" s="125"/>
      <c r="H117" s="229"/>
      <c r="I117" s="127"/>
      <c r="R117" s="119"/>
    </row>
    <row r="118" spans="1:23" ht="15" customHeight="1" x14ac:dyDescent="0.25">
      <c r="A118" s="281"/>
      <c r="B118" s="124" t="s">
        <v>236</v>
      </c>
      <c r="C118" s="126">
        <f>COUNTIF('Analyses descriptives'!$C$20:$C$41,"&lt;1")</f>
        <v>0</v>
      </c>
      <c r="D118" s="126"/>
      <c r="E118" s="130"/>
      <c r="F118" s="304" t="s">
        <v>153</v>
      </c>
      <c r="G118" s="125" t="s">
        <v>27</v>
      </c>
      <c r="H118" s="221"/>
      <c r="I118" s="127"/>
      <c r="R118" s="119"/>
    </row>
    <row r="119" spans="1:23" x14ac:dyDescent="0.25">
      <c r="A119" s="281"/>
      <c r="B119" s="124" t="s">
        <v>237</v>
      </c>
      <c r="C119" s="126">
        <f>COUNTIFS('Analyses descriptives'!$C$20:$C$41,"&gt;=1",'Analyses descriptives'!$C$20:$C$41,"&lt;2")</f>
        <v>0</v>
      </c>
      <c r="D119" s="126"/>
      <c r="E119" s="130"/>
      <c r="F119" s="304"/>
      <c r="G119" s="125" t="s">
        <v>28</v>
      </c>
      <c r="H119" s="221"/>
      <c r="I119" s="127"/>
      <c r="R119" s="119"/>
    </row>
    <row r="120" spans="1:23" x14ac:dyDescent="0.25">
      <c r="A120" s="281"/>
      <c r="B120" s="124" t="s">
        <v>238</v>
      </c>
      <c r="C120" s="126">
        <f>COUNTIFS('Analyses descriptives'!$C$20:$C$41,"&gt;=2",'Analyses descriptives'!$C$20:$C$41,"&lt;3")</f>
        <v>1</v>
      </c>
      <c r="D120" s="126"/>
      <c r="E120" s="130"/>
      <c r="F120" s="304"/>
      <c r="G120" s="125" t="s">
        <v>29</v>
      </c>
      <c r="H120" s="221"/>
      <c r="I120" s="127"/>
      <c r="K120" t="s">
        <v>183</v>
      </c>
      <c r="R120" s="119"/>
    </row>
    <row r="121" spans="1:23" x14ac:dyDescent="0.25">
      <c r="A121" s="281"/>
      <c r="B121" s="124" t="s">
        <v>239</v>
      </c>
      <c r="C121" s="126">
        <f>COUNTIFS('Analyses descriptives'!$C$20:$C$41,"&gt;=3",'Analyses descriptives'!$C$20:$C$41,"&lt;4")</f>
        <v>5</v>
      </c>
      <c r="D121" s="126"/>
      <c r="E121" s="130"/>
      <c r="F121" s="131"/>
      <c r="G121" s="125" t="s">
        <v>154</v>
      </c>
      <c r="H121" s="221"/>
      <c r="I121" s="127"/>
      <c r="K121" t="s">
        <v>242</v>
      </c>
      <c r="R121" s="119"/>
    </row>
    <row r="122" spans="1:23" x14ac:dyDescent="0.25">
      <c r="A122" s="281"/>
      <c r="B122" s="124" t="s">
        <v>240</v>
      </c>
      <c r="C122" s="126">
        <f>COUNTIFS('Analyses descriptives'!$C$20:$C$41,"&gt;=4",'Analyses descriptives'!$C$20:$C$41,"&lt;5")</f>
        <v>6</v>
      </c>
      <c r="D122" s="126"/>
      <c r="E122" s="130"/>
      <c r="F122" s="131"/>
      <c r="G122" s="125" t="s">
        <v>155</v>
      </c>
      <c r="H122" s="221"/>
      <c r="I122" s="127"/>
      <c r="R122" s="119"/>
    </row>
    <row r="123" spans="1:23" x14ac:dyDescent="0.25">
      <c r="A123" s="281"/>
      <c r="B123" s="124" t="s">
        <v>241</v>
      </c>
      <c r="C123" s="126">
        <f>COUNTIFS('Analyses descriptives'!$C$20:$C$41,"&gt;=5",'Analyses descriptives'!$C$20:$C$41,"&lt;6")</f>
        <v>4</v>
      </c>
      <c r="D123" s="126"/>
      <c r="E123" s="130"/>
      <c r="F123" s="131"/>
      <c r="G123" s="125" t="s">
        <v>156</v>
      </c>
      <c r="H123" s="230"/>
      <c r="I123" s="127"/>
      <c r="R123" s="119"/>
    </row>
    <row r="124" spans="1:23" x14ac:dyDescent="0.25">
      <c r="A124" s="281"/>
      <c r="B124" s="124" t="s">
        <v>185</v>
      </c>
      <c r="C124" s="126">
        <f>COUNTIF('Analyses descriptives'!$C$20:$C$41,"&gt;=6")</f>
        <v>4</v>
      </c>
      <c r="D124" s="126"/>
      <c r="E124" s="130"/>
      <c r="F124" s="125"/>
      <c r="G124" s="125"/>
      <c r="H124" s="229"/>
      <c r="I124" s="127"/>
      <c r="R124" s="119"/>
    </row>
    <row r="125" spans="1:23" ht="15" customHeight="1" x14ac:dyDescent="0.25">
      <c r="A125" s="281"/>
      <c r="B125" s="124"/>
      <c r="C125" s="126"/>
      <c r="D125" s="130"/>
      <c r="E125" s="130"/>
      <c r="F125" s="304" t="s">
        <v>157</v>
      </c>
      <c r="G125" s="125" t="s">
        <v>158</v>
      </c>
      <c r="H125" s="229"/>
      <c r="I125" s="127"/>
      <c r="R125" s="119"/>
    </row>
    <row r="126" spans="1:23" x14ac:dyDescent="0.25">
      <c r="A126" s="281"/>
      <c r="B126" s="124" t="s">
        <v>159</v>
      </c>
      <c r="C126" s="126">
        <f>IF(ISBLANK(C118),"",SUM(C118:C124))</f>
        <v>20</v>
      </c>
      <c r="D126" s="126"/>
      <c r="E126" s="126"/>
      <c r="F126" s="304"/>
      <c r="G126" s="125" t="s">
        <v>160</v>
      </c>
      <c r="H126" s="221"/>
      <c r="I126" s="127"/>
      <c r="R126" s="119"/>
    </row>
    <row r="127" spans="1:23" x14ac:dyDescent="0.25">
      <c r="A127" s="281"/>
      <c r="B127" s="124"/>
      <c r="C127" s="126"/>
      <c r="D127" s="126"/>
      <c r="E127" s="126"/>
      <c r="F127" s="304"/>
      <c r="G127" s="125" t="s">
        <v>45</v>
      </c>
      <c r="H127" s="230"/>
      <c r="I127" s="127"/>
      <c r="R127" s="119"/>
    </row>
    <row r="128" spans="1:23" x14ac:dyDescent="0.25">
      <c r="A128" s="281"/>
      <c r="B128" s="132" t="s">
        <v>161</v>
      </c>
      <c r="C128" s="133" t="str">
        <f>IF(ISBLANK(H123),"",IF(H123=C126,"","Check"))</f>
        <v/>
      </c>
      <c r="D128" s="126"/>
      <c r="E128" s="126"/>
      <c r="F128" s="304"/>
      <c r="G128" s="125" t="s">
        <v>162</v>
      </c>
      <c r="H128" s="221"/>
      <c r="I128" s="127"/>
      <c r="K128" s="134" t="str">
        <f>IF(H128="","",H128*100)</f>
        <v/>
      </c>
      <c r="L128" t="s">
        <v>163</v>
      </c>
      <c r="R128" s="119"/>
    </row>
    <row r="129" spans="1:19" ht="15" customHeight="1" x14ac:dyDescent="0.25">
      <c r="A129" s="281"/>
      <c r="B129" s="302" t="s">
        <v>275</v>
      </c>
      <c r="C129" s="303"/>
      <c r="D129" s="126"/>
      <c r="E129" s="126"/>
      <c r="F129" s="125"/>
      <c r="G129" s="125"/>
      <c r="H129" s="229"/>
      <c r="I129" s="127"/>
      <c r="K129" t="str">
        <f>IF(K128&gt;50,"vos données ne sont pas très homogènes car plus de la moitié de votre moyenne est expliquée par l'écart-type","")</f>
        <v>vos données ne sont pas très homogènes car plus de la moitié de votre moyenne est expliquée par l'écart-type</v>
      </c>
      <c r="R129" s="119"/>
    </row>
    <row r="130" spans="1:19" ht="15" customHeight="1" x14ac:dyDescent="0.25">
      <c r="A130" s="281"/>
      <c r="B130" s="302"/>
      <c r="C130" s="303"/>
      <c r="D130" s="126"/>
      <c r="E130" s="126"/>
      <c r="F130" s="304" t="s">
        <v>165</v>
      </c>
      <c r="G130" s="125" t="s">
        <v>166</v>
      </c>
      <c r="H130" s="231"/>
      <c r="I130" s="127"/>
      <c r="R130" s="119"/>
    </row>
    <row r="131" spans="1:19" x14ac:dyDescent="0.25">
      <c r="A131" s="281"/>
      <c r="B131" s="302"/>
      <c r="C131" s="303"/>
      <c r="D131" s="126"/>
      <c r="E131" s="126"/>
      <c r="F131" s="304"/>
      <c r="G131" s="125" t="s">
        <v>167</v>
      </c>
      <c r="H131" s="231"/>
      <c r="I131" s="127"/>
      <c r="K131" t="str">
        <f>IF(H131&gt;1, "Un coefficient positif indique une distribution décalée à gauche de la médiane, et donc une queue de distribution étalée vers la droite.",IF(H131&lt;-1,"Un coefficient négatif indique une distribution décalée à droite de la médiane, et donc une queue de distribution étalée vers la gauche.","Un coefficient proche de 0 indique une distribution symétrique avec la moyenne équivalente à la médiane."))</f>
        <v>Un coefficient proche de 0 indique une distribution symétrique avec la moyenne équivalente à la médiane.</v>
      </c>
      <c r="R131" s="119"/>
    </row>
    <row r="132" spans="1:19" x14ac:dyDescent="0.25">
      <c r="A132" s="281"/>
      <c r="B132" s="302"/>
      <c r="C132" s="303"/>
      <c r="D132" s="126"/>
      <c r="E132" s="126"/>
      <c r="F132" s="304"/>
      <c r="G132" s="125" t="s">
        <v>168</v>
      </c>
      <c r="H132" s="231"/>
      <c r="I132" s="127"/>
      <c r="K132" t="s">
        <v>169</v>
      </c>
      <c r="Q132" s="135" t="str">
        <f>IF(ISBLANK(H118),"",H118-(H132*1.96))</f>
        <v/>
      </c>
      <c r="R132" s="136" t="s">
        <v>170</v>
      </c>
      <c r="S132" s="135" t="str">
        <f>IF(ISBLANK(H118),"",H118+(H132*1.96))</f>
        <v/>
      </c>
    </row>
    <row r="133" spans="1:19" x14ac:dyDescent="0.25">
      <c r="A133" s="281"/>
      <c r="B133" s="302"/>
      <c r="C133" s="303"/>
      <c r="D133" s="126"/>
      <c r="E133" s="126"/>
      <c r="F133" s="304"/>
      <c r="G133" s="125"/>
      <c r="H133" s="229"/>
      <c r="I133" s="127"/>
      <c r="R133" s="119"/>
    </row>
    <row r="134" spans="1:19" ht="15" customHeight="1" x14ac:dyDescent="0.25">
      <c r="A134" s="281"/>
      <c r="B134" s="137"/>
      <c r="C134" s="138"/>
      <c r="D134" s="126"/>
      <c r="E134" s="126"/>
      <c r="F134" s="304" t="s">
        <v>171</v>
      </c>
      <c r="G134" s="125" t="s">
        <v>172</v>
      </c>
      <c r="H134" s="229"/>
      <c r="I134" s="127"/>
      <c r="R134" s="119"/>
    </row>
    <row r="135" spans="1:19" x14ac:dyDescent="0.25">
      <c r="A135" s="281"/>
      <c r="B135" s="137"/>
      <c r="C135" s="138"/>
      <c r="D135" s="126"/>
      <c r="E135" s="126"/>
      <c r="F135" s="304"/>
      <c r="G135" s="125" t="s">
        <v>173</v>
      </c>
      <c r="H135" s="229"/>
      <c r="I135" s="127"/>
      <c r="R135" s="119"/>
    </row>
    <row r="136" spans="1:19" x14ac:dyDescent="0.25">
      <c r="A136" s="281"/>
      <c r="B136" s="128"/>
      <c r="C136" s="126"/>
      <c r="D136" s="126"/>
      <c r="E136" s="126"/>
      <c r="F136" s="304"/>
      <c r="G136" s="125" t="s">
        <v>174</v>
      </c>
      <c r="H136" s="229"/>
      <c r="I136" s="127"/>
      <c r="R136" s="119"/>
    </row>
    <row r="137" spans="1:19" x14ac:dyDescent="0.25">
      <c r="A137" s="281"/>
      <c r="B137" s="128"/>
      <c r="C137" s="126"/>
      <c r="D137" s="126"/>
      <c r="E137" s="126"/>
      <c r="F137" s="304"/>
      <c r="G137" s="125" t="s">
        <v>175</v>
      </c>
      <c r="H137" s="229"/>
      <c r="I137" s="127"/>
      <c r="R137" s="119"/>
    </row>
    <row r="138" spans="1:19" x14ac:dyDescent="0.25">
      <c r="A138" s="281"/>
      <c r="B138" s="128"/>
      <c r="C138" s="126"/>
      <c r="D138" s="126"/>
      <c r="E138" s="126"/>
      <c r="F138" s="125"/>
      <c r="G138" s="125"/>
      <c r="H138" s="229"/>
      <c r="I138" s="127"/>
      <c r="R138" s="119"/>
    </row>
    <row r="139" spans="1:19" ht="15" customHeight="1" x14ac:dyDescent="0.25">
      <c r="A139" s="281"/>
      <c r="B139" s="128"/>
      <c r="C139" s="126"/>
      <c r="D139" s="126"/>
      <c r="E139" s="126"/>
      <c r="F139" s="304" t="s">
        <v>176</v>
      </c>
      <c r="G139" s="125" t="s">
        <v>177</v>
      </c>
      <c r="H139" s="221"/>
      <c r="I139" s="127"/>
      <c r="R139" s="119"/>
    </row>
    <row r="140" spans="1:19" x14ac:dyDescent="0.25">
      <c r="A140" s="281"/>
      <c r="B140" s="128"/>
      <c r="C140" s="126"/>
      <c r="D140" s="126"/>
      <c r="E140" s="126"/>
      <c r="F140" s="304"/>
      <c r="G140" s="125" t="s">
        <v>178</v>
      </c>
      <c r="H140" s="229"/>
      <c r="I140" s="127"/>
      <c r="K140" t="str">
        <f>IF(OR(ISBLANK(H126),H140=0),"","Au niveau de la distribution, il existe" )</f>
        <v/>
      </c>
      <c r="L140" t="str">
        <f>IF(H140=0,"",H140)</f>
        <v/>
      </c>
      <c r="M140" t="str">
        <f>IF(OR(ISBLANK(H126),H140=0),"","valeurs extrêmes à gauche. Vous devez considérer ce fait lors de vos analyses statistiques car cela peut introduire des biais ou diminuer la significativité de certains tests" )</f>
        <v/>
      </c>
      <c r="R140" s="119"/>
    </row>
    <row r="141" spans="1:19" x14ac:dyDescent="0.25">
      <c r="A141" s="281"/>
      <c r="B141" s="128"/>
      <c r="C141" s="126"/>
      <c r="D141" s="126"/>
      <c r="E141" s="126"/>
      <c r="F141" s="304"/>
      <c r="G141" s="125" t="s">
        <v>179</v>
      </c>
      <c r="H141" s="221"/>
      <c r="I141" s="127"/>
      <c r="R141" s="119"/>
    </row>
    <row r="142" spans="1:19" x14ac:dyDescent="0.25">
      <c r="A142" s="281"/>
      <c r="B142" s="128"/>
      <c r="C142" s="126"/>
      <c r="D142" s="126"/>
      <c r="E142" s="126"/>
      <c r="F142" s="304"/>
      <c r="G142" s="125" t="s">
        <v>180</v>
      </c>
      <c r="H142" s="229"/>
      <c r="I142" s="127"/>
      <c r="K142" t="str">
        <f>IF(OR(ISBLANK(H126),H142=0),"","Au niveau de la distribution, il existe" )</f>
        <v/>
      </c>
      <c r="L142" t="str">
        <f>IF(H142=0,"",H142)</f>
        <v/>
      </c>
      <c r="M142" t="str">
        <f>IF(OR(ISBLANK(H126),H142=0),"","valeurs extrêmes à droite. Vous devez considérer ce fait lors de vos analyses statistiques car cela peut introduire des biais ou diminuer la significativité de certains tests" )</f>
        <v/>
      </c>
      <c r="R142" s="119"/>
    </row>
    <row r="143" spans="1:19" ht="15.75" thickBot="1" x14ac:dyDescent="0.3">
      <c r="A143" s="281"/>
      <c r="B143" s="139"/>
      <c r="C143" s="140"/>
      <c r="D143" s="140"/>
      <c r="E143" s="140"/>
      <c r="F143" s="141"/>
      <c r="G143" s="141"/>
      <c r="H143" s="232"/>
      <c r="I143" s="142"/>
      <c r="K143" t="s">
        <v>252</v>
      </c>
      <c r="R143" s="119"/>
    </row>
    <row r="144" spans="1:19" x14ac:dyDescent="0.25">
      <c r="A144" s="281"/>
      <c r="R144" s="119"/>
    </row>
    <row r="145" spans="1:18" x14ac:dyDescent="0.25">
      <c r="A145" s="281"/>
    </row>
    <row r="146" spans="1:18" ht="15.75" thickBot="1" x14ac:dyDescent="0.3">
      <c r="A146" s="281"/>
    </row>
    <row r="147" spans="1:18" ht="15.75" thickBot="1" x14ac:dyDescent="0.3">
      <c r="A147" s="281"/>
      <c r="B147" s="116" t="str">
        <f>B429</f>
        <v xml:space="preserve">Score d'attention sélective (U) </v>
      </c>
      <c r="C147" s="117"/>
      <c r="D147" s="117"/>
      <c r="E147" s="117"/>
      <c r="F147" s="117"/>
      <c r="G147" s="117"/>
      <c r="H147" s="227"/>
      <c r="I147" s="118"/>
      <c r="R147" s="119"/>
    </row>
    <row r="148" spans="1:18" x14ac:dyDescent="0.25">
      <c r="A148" s="281"/>
      <c r="B148" s="120"/>
      <c r="C148" s="121"/>
      <c r="D148" s="121"/>
      <c r="E148" s="121"/>
      <c r="F148" s="122"/>
      <c r="G148" s="122"/>
      <c r="H148" s="228"/>
      <c r="I148" s="123"/>
      <c r="R148" s="119"/>
    </row>
    <row r="149" spans="1:18" x14ac:dyDescent="0.25">
      <c r="A149" s="281"/>
      <c r="B149" s="124" t="s">
        <v>150</v>
      </c>
      <c r="C149" s="280" t="s">
        <v>151</v>
      </c>
      <c r="D149" s="280"/>
      <c r="E149" s="280"/>
      <c r="F149" s="125"/>
      <c r="G149" s="125"/>
      <c r="H149" s="229"/>
      <c r="I149" s="127"/>
      <c r="R149" s="119"/>
    </row>
    <row r="150" spans="1:18" x14ac:dyDescent="0.25">
      <c r="A150" s="281"/>
      <c r="B150" s="128"/>
      <c r="C150" s="126"/>
      <c r="D150" s="126"/>
      <c r="E150" s="126"/>
      <c r="F150" s="125"/>
      <c r="G150" s="125" t="s">
        <v>152</v>
      </c>
      <c r="H150" s="229"/>
      <c r="I150" s="127"/>
      <c r="R150" s="119"/>
    </row>
    <row r="151" spans="1:18" x14ac:dyDescent="0.25">
      <c r="A151" s="281"/>
      <c r="B151" s="124" t="s">
        <v>184</v>
      </c>
      <c r="C151" s="129"/>
      <c r="D151" s="126"/>
      <c r="E151" s="130"/>
      <c r="F151" s="125"/>
      <c r="G151" s="125"/>
      <c r="H151" s="229"/>
      <c r="I151" s="127"/>
      <c r="R151" s="119"/>
    </row>
    <row r="152" spans="1:18" ht="15" customHeight="1" x14ac:dyDescent="0.25">
      <c r="A152" s="281"/>
      <c r="B152" s="124" t="s">
        <v>186</v>
      </c>
      <c r="C152" s="126">
        <f>COUNTIF('Analyses descriptives'!$D$20:$D$41,"&lt;10")</f>
        <v>0</v>
      </c>
      <c r="D152" s="126"/>
      <c r="E152" s="130"/>
      <c r="F152" s="304" t="s">
        <v>153</v>
      </c>
      <c r="G152" s="125" t="s">
        <v>27</v>
      </c>
      <c r="H152" s="221"/>
      <c r="I152" s="127"/>
      <c r="R152" s="119"/>
    </row>
    <row r="153" spans="1:18" x14ac:dyDescent="0.25">
      <c r="A153" s="281"/>
      <c r="B153" s="124" t="s">
        <v>187</v>
      </c>
      <c r="C153" s="126">
        <f>COUNTIFS('Analyses descriptives'!$D$20:$D$41,"&gt;=10",'Analyses descriptives'!$D$20:$D$41,"&lt;20")</f>
        <v>9</v>
      </c>
      <c r="D153" s="126"/>
      <c r="E153" s="130"/>
      <c r="F153" s="304"/>
      <c r="G153" s="125" t="s">
        <v>28</v>
      </c>
      <c r="H153" s="221"/>
      <c r="I153" s="127"/>
      <c r="R153" s="119"/>
    </row>
    <row r="154" spans="1:18" x14ac:dyDescent="0.25">
      <c r="A154" s="281"/>
      <c r="B154" s="124" t="s">
        <v>188</v>
      </c>
      <c r="C154" s="126">
        <f>COUNTIFS('Analyses descriptives'!$D$20:$D$41,"&gt;=20",'Analyses descriptives'!$D$20:$D$41,"&lt;30")</f>
        <v>9</v>
      </c>
      <c r="D154" s="126"/>
      <c r="E154" s="130"/>
      <c r="F154" s="304"/>
      <c r="G154" s="125" t="s">
        <v>29</v>
      </c>
      <c r="H154" s="221"/>
      <c r="I154" s="127"/>
      <c r="K154" t="s">
        <v>183</v>
      </c>
      <c r="R154" s="119"/>
    </row>
    <row r="155" spans="1:18" x14ac:dyDescent="0.25">
      <c r="A155" s="281"/>
      <c r="B155" s="124" t="s">
        <v>189</v>
      </c>
      <c r="C155" s="126">
        <f>COUNTIFS('Analyses descriptives'!$D$20:$D$41,"&gt;=30",'Analyses descriptives'!$D$20:$D$41,"&lt;40")</f>
        <v>1</v>
      </c>
      <c r="D155" s="126"/>
      <c r="E155" s="130"/>
      <c r="F155" s="131"/>
      <c r="G155" s="125" t="s">
        <v>154</v>
      </c>
      <c r="H155" s="221"/>
      <c r="I155" s="127"/>
      <c r="K155" t="s">
        <v>242</v>
      </c>
      <c r="R155" s="119"/>
    </row>
    <row r="156" spans="1:18" x14ac:dyDescent="0.25">
      <c r="A156" s="281"/>
      <c r="B156" s="124" t="s">
        <v>190</v>
      </c>
      <c r="C156" s="126">
        <f>COUNTIFS('Analyses descriptives'!$D$20:$D$41,"&gt;=40",'Analyses descriptives'!$D$20:$D$41,"&lt;50")</f>
        <v>1</v>
      </c>
      <c r="D156" s="126"/>
      <c r="E156" s="130"/>
      <c r="F156" s="131"/>
      <c r="G156" s="125" t="s">
        <v>155</v>
      </c>
      <c r="H156" s="221"/>
      <c r="I156" s="127"/>
      <c r="R156" s="119"/>
    </row>
    <row r="157" spans="1:18" x14ac:dyDescent="0.25">
      <c r="A157" s="281"/>
      <c r="B157" s="124" t="s">
        <v>191</v>
      </c>
      <c r="C157" s="126">
        <f>COUNTIFS('Analyses descriptives'!$D$20:$D$41,"&gt;=50",'Analyses descriptives'!$D$20:$D$41,"&lt;60")</f>
        <v>0</v>
      </c>
      <c r="D157" s="126"/>
      <c r="E157" s="130"/>
      <c r="F157" s="131"/>
      <c r="G157" s="125" t="s">
        <v>156</v>
      </c>
      <c r="H157" s="230"/>
      <c r="I157" s="127"/>
      <c r="R157" s="119"/>
    </row>
    <row r="158" spans="1:18" x14ac:dyDescent="0.25">
      <c r="A158" s="281"/>
      <c r="B158" s="124" t="s">
        <v>192</v>
      </c>
      <c r="C158" s="126">
        <f>COUNTIF('Analyses descriptives'!$D$20:$D$41,"&gt;=60")</f>
        <v>0</v>
      </c>
      <c r="D158" s="126"/>
      <c r="E158" s="130"/>
      <c r="F158" s="125"/>
      <c r="G158" s="125"/>
      <c r="H158" s="229"/>
      <c r="I158" s="127"/>
      <c r="R158" s="119"/>
    </row>
    <row r="159" spans="1:18" ht="15" customHeight="1" x14ac:dyDescent="0.25">
      <c r="A159" s="281"/>
      <c r="B159" s="124"/>
      <c r="C159" s="126"/>
      <c r="D159" s="130"/>
      <c r="E159" s="130"/>
      <c r="F159" s="304" t="s">
        <v>157</v>
      </c>
      <c r="G159" s="125" t="s">
        <v>158</v>
      </c>
      <c r="H159" s="229"/>
      <c r="I159" s="127"/>
      <c r="R159" s="119"/>
    </row>
    <row r="160" spans="1:18" x14ac:dyDescent="0.25">
      <c r="A160" s="281"/>
      <c r="B160" s="124" t="s">
        <v>159</v>
      </c>
      <c r="C160" s="126">
        <f>IF(ISBLANK(C152),"",SUM(C152:C158))</f>
        <v>20</v>
      </c>
      <c r="D160" s="126"/>
      <c r="E160" s="126"/>
      <c r="F160" s="304"/>
      <c r="G160" s="125" t="s">
        <v>160</v>
      </c>
      <c r="H160" s="221"/>
      <c r="I160" s="127"/>
      <c r="R160" s="119"/>
    </row>
    <row r="161" spans="1:19" x14ac:dyDescent="0.25">
      <c r="A161" s="281"/>
      <c r="B161" s="124"/>
      <c r="C161" s="126"/>
      <c r="D161" s="126"/>
      <c r="E161" s="126"/>
      <c r="F161" s="304"/>
      <c r="G161" s="125" t="s">
        <v>45</v>
      </c>
      <c r="H161" s="230"/>
      <c r="I161" s="127"/>
      <c r="R161" s="119"/>
    </row>
    <row r="162" spans="1:19" x14ac:dyDescent="0.25">
      <c r="A162" s="281"/>
      <c r="B162" s="132" t="s">
        <v>161</v>
      </c>
      <c r="C162" s="133" t="str">
        <f>IF(ISBLANK(H157),"",IF(H157=C160,"","Check"))</f>
        <v/>
      </c>
      <c r="D162" s="126"/>
      <c r="E162" s="126"/>
      <c r="F162" s="304"/>
      <c r="G162" s="125" t="s">
        <v>162</v>
      </c>
      <c r="H162" s="221"/>
      <c r="I162" s="127"/>
      <c r="K162" s="134" t="str">
        <f>IF(H162="","",H162*100)</f>
        <v/>
      </c>
      <c r="L162" t="s">
        <v>163</v>
      </c>
      <c r="R162" s="119"/>
    </row>
    <row r="163" spans="1:19" ht="15" customHeight="1" x14ac:dyDescent="0.25">
      <c r="A163" s="281"/>
      <c r="B163" s="302" t="s">
        <v>275</v>
      </c>
      <c r="C163" s="303"/>
      <c r="D163" s="126"/>
      <c r="E163" s="126"/>
      <c r="F163" s="125"/>
      <c r="G163" s="125"/>
      <c r="H163" s="229"/>
      <c r="I163" s="127"/>
      <c r="K163" t="str">
        <f>IF(K162&gt;50,"vos données ne sont pas très homogènes car plus de la moitié de votre moyenne est expliquée par l'écart-type","")</f>
        <v>vos données ne sont pas très homogènes car plus de la moitié de votre moyenne est expliquée par l'écart-type</v>
      </c>
      <c r="R163" s="119"/>
    </row>
    <row r="164" spans="1:19" ht="15" customHeight="1" x14ac:dyDescent="0.25">
      <c r="A164" s="281"/>
      <c r="B164" s="302"/>
      <c r="C164" s="303"/>
      <c r="D164" s="126"/>
      <c r="E164" s="126"/>
      <c r="F164" s="304" t="s">
        <v>165</v>
      </c>
      <c r="G164" s="125" t="s">
        <v>166</v>
      </c>
      <c r="H164" s="231"/>
      <c r="I164" s="127"/>
      <c r="R164" s="119"/>
    </row>
    <row r="165" spans="1:19" x14ac:dyDescent="0.25">
      <c r="A165" s="281"/>
      <c r="B165" s="302"/>
      <c r="C165" s="303"/>
      <c r="D165" s="126"/>
      <c r="E165" s="126"/>
      <c r="F165" s="304"/>
      <c r="G165" s="125" t="s">
        <v>167</v>
      </c>
      <c r="H165" s="231"/>
      <c r="I165" s="127"/>
      <c r="K165" t="str">
        <f>IF(H165&gt;1, "Un coefficient positif indique une distribution décalée à gauche de la médiane, et donc une queue de distribution étalée vers la droite.",IF(H165&lt;-1,"Un coefficient négatif indique une distribution décalée à droite de la médiane, et donc une queue de distribution étalée vers la gauche.","Un coefficient proche de 0 indique une distribution symétrique avec la moyenne équivalente à la médiane."))</f>
        <v>Un coefficient proche de 0 indique une distribution symétrique avec la moyenne équivalente à la médiane.</v>
      </c>
      <c r="R165" s="119"/>
    </row>
    <row r="166" spans="1:19" x14ac:dyDescent="0.25">
      <c r="A166" s="281"/>
      <c r="B166" s="302"/>
      <c r="C166" s="303"/>
      <c r="D166" s="126"/>
      <c r="E166" s="126"/>
      <c r="F166" s="304"/>
      <c r="G166" s="125" t="s">
        <v>168</v>
      </c>
      <c r="H166" s="231"/>
      <c r="I166" s="127"/>
      <c r="K166" t="s">
        <v>169</v>
      </c>
      <c r="Q166" s="135" t="str">
        <f>IF(ISBLANK(H152),"",H152-(H166*1.96))</f>
        <v/>
      </c>
      <c r="R166" s="136" t="s">
        <v>170</v>
      </c>
      <c r="S166" s="135" t="str">
        <f>IF(ISBLANK(H152),"",H152+(H166*1.96))</f>
        <v/>
      </c>
    </row>
    <row r="167" spans="1:19" x14ac:dyDescent="0.25">
      <c r="A167" s="281"/>
      <c r="B167" s="302"/>
      <c r="C167" s="303"/>
      <c r="D167" s="126"/>
      <c r="E167" s="126"/>
      <c r="F167" s="304"/>
      <c r="G167" s="125"/>
      <c r="H167" s="229"/>
      <c r="I167" s="127"/>
      <c r="R167" s="119"/>
    </row>
    <row r="168" spans="1:19" ht="15" customHeight="1" x14ac:dyDescent="0.25">
      <c r="A168" s="281"/>
      <c r="B168" s="137"/>
      <c r="C168" s="138"/>
      <c r="D168" s="126"/>
      <c r="E168" s="126"/>
      <c r="F168" s="304" t="s">
        <v>171</v>
      </c>
      <c r="G168" s="125" t="s">
        <v>172</v>
      </c>
      <c r="H168" s="229"/>
      <c r="I168" s="127"/>
      <c r="R168" s="119"/>
    </row>
    <row r="169" spans="1:19" x14ac:dyDescent="0.25">
      <c r="A169" s="281"/>
      <c r="B169" s="137"/>
      <c r="C169" s="138"/>
      <c r="D169" s="126"/>
      <c r="E169" s="126"/>
      <c r="F169" s="304"/>
      <c r="G169" s="125" t="s">
        <v>173</v>
      </c>
      <c r="H169" s="229"/>
      <c r="I169" s="127"/>
      <c r="R169" s="119"/>
    </row>
    <row r="170" spans="1:19" x14ac:dyDescent="0.25">
      <c r="A170" s="281"/>
      <c r="B170" s="128"/>
      <c r="C170" s="126"/>
      <c r="D170" s="126"/>
      <c r="E170" s="126"/>
      <c r="F170" s="304"/>
      <c r="G170" s="125" t="s">
        <v>174</v>
      </c>
      <c r="H170" s="229"/>
      <c r="I170" s="127"/>
      <c r="R170" s="119"/>
    </row>
    <row r="171" spans="1:19" x14ac:dyDescent="0.25">
      <c r="A171" s="281"/>
      <c r="B171" s="128"/>
      <c r="C171" s="126"/>
      <c r="D171" s="126"/>
      <c r="E171" s="126"/>
      <c r="F171" s="304"/>
      <c r="G171" s="125" t="s">
        <v>175</v>
      </c>
      <c r="H171" s="229"/>
      <c r="I171" s="127"/>
      <c r="R171" s="119"/>
    </row>
    <row r="172" spans="1:19" x14ac:dyDescent="0.25">
      <c r="A172" s="281"/>
      <c r="B172" s="128"/>
      <c r="C172" s="126"/>
      <c r="D172" s="126"/>
      <c r="E172" s="126"/>
      <c r="F172" s="125"/>
      <c r="G172" s="125"/>
      <c r="H172" s="229"/>
      <c r="I172" s="127"/>
      <c r="R172" s="119"/>
    </row>
    <row r="173" spans="1:19" ht="15" customHeight="1" x14ac:dyDescent="0.25">
      <c r="A173" s="281"/>
      <c r="B173" s="128"/>
      <c r="C173" s="126"/>
      <c r="D173" s="126"/>
      <c r="E173" s="126"/>
      <c r="F173" s="304" t="s">
        <v>176</v>
      </c>
      <c r="G173" s="125" t="s">
        <v>177</v>
      </c>
      <c r="H173" s="221"/>
      <c r="I173" s="127"/>
      <c r="R173" s="119"/>
    </row>
    <row r="174" spans="1:19" x14ac:dyDescent="0.25">
      <c r="A174" s="281"/>
      <c r="B174" s="128"/>
      <c r="C174" s="126"/>
      <c r="D174" s="126"/>
      <c r="E174" s="126"/>
      <c r="F174" s="304"/>
      <c r="G174" s="125" t="s">
        <v>178</v>
      </c>
      <c r="H174" s="229"/>
      <c r="I174" s="127"/>
      <c r="K174" t="str">
        <f>IF(OR(ISBLANK(H160),H174=0),"","Au niveau de la distribution, il existe" )</f>
        <v/>
      </c>
      <c r="L174" t="str">
        <f>IF(H174=0,"",H174)</f>
        <v/>
      </c>
      <c r="M174" t="str">
        <f>IF(OR(ISBLANK(H160),H174=0),"","valeurs extrêmes à gauche. Vous devez considérer ce fait lors de vos analyses statistiques car cela peut introduire des biais ou diminuer la significativité de certains tests" )</f>
        <v/>
      </c>
      <c r="R174" s="119"/>
    </row>
    <row r="175" spans="1:19" x14ac:dyDescent="0.25">
      <c r="A175" s="281"/>
      <c r="B175" s="128"/>
      <c r="C175" s="126"/>
      <c r="D175" s="126"/>
      <c r="E175" s="126"/>
      <c r="F175" s="304"/>
      <c r="G175" s="125" t="s">
        <v>179</v>
      </c>
      <c r="H175" s="221"/>
      <c r="I175" s="127"/>
      <c r="R175" s="119"/>
    </row>
    <row r="176" spans="1:19" x14ac:dyDescent="0.25">
      <c r="A176" s="281"/>
      <c r="B176" s="128"/>
      <c r="C176" s="126"/>
      <c r="D176" s="126"/>
      <c r="E176" s="126"/>
      <c r="F176" s="304"/>
      <c r="G176" s="125" t="s">
        <v>180</v>
      </c>
      <c r="H176" s="229"/>
      <c r="I176" s="127"/>
      <c r="K176" t="str">
        <f>IF(OR(ISBLANK(H160),H176=0),"","Au niveau de la distribution, il existe" )</f>
        <v/>
      </c>
      <c r="L176" t="str">
        <f>IF(H176=0,"",H176)</f>
        <v/>
      </c>
      <c r="M176" t="str">
        <f>IF(OR(ISBLANK(H160),H176=0),"","valeurs extrêmes à droite. Vous devez considérer ce fait lors de vos analyses statistiques car cela peut introduire des biais ou diminuer la significativité de certains tests" )</f>
        <v/>
      </c>
      <c r="R176" s="119"/>
    </row>
    <row r="177" spans="1:18" ht="15.75" thickBot="1" x14ac:dyDescent="0.3">
      <c r="A177" s="281"/>
      <c r="B177" s="139"/>
      <c r="C177" s="140"/>
      <c r="D177" s="140"/>
      <c r="E177" s="140"/>
      <c r="F177" s="141"/>
      <c r="G177" s="141"/>
      <c r="H177" s="232"/>
      <c r="I177" s="142"/>
      <c r="K177" t="s">
        <v>253</v>
      </c>
      <c r="R177" s="119"/>
    </row>
    <row r="184" spans="1:18" ht="21" customHeight="1" x14ac:dyDescent="0.35">
      <c r="A184" s="307" t="s">
        <v>182</v>
      </c>
      <c r="B184" s="166" t="s">
        <v>182</v>
      </c>
      <c r="C184" s="166"/>
      <c r="D184" s="166"/>
      <c r="E184" s="166"/>
      <c r="F184" s="166"/>
      <c r="G184" s="166"/>
      <c r="H184" s="226"/>
      <c r="I184" s="166"/>
      <c r="J184" s="166"/>
      <c r="K184" s="166"/>
      <c r="L184" s="166"/>
      <c r="M184" s="166"/>
      <c r="N184" s="166"/>
      <c r="O184" s="166"/>
      <c r="P184" s="166"/>
    </row>
    <row r="185" spans="1:18" ht="15.75" thickBot="1" x14ac:dyDescent="0.3">
      <c r="A185" s="307"/>
    </row>
    <row r="186" spans="1:18" ht="15.75" thickBot="1" x14ac:dyDescent="0.3">
      <c r="A186" s="307"/>
      <c r="B186" s="242" t="s">
        <v>227</v>
      </c>
      <c r="C186" s="243"/>
      <c r="D186" s="243"/>
      <c r="E186" s="243"/>
      <c r="F186" s="243"/>
      <c r="G186" s="243"/>
      <c r="H186" s="244"/>
      <c r="I186" s="245"/>
      <c r="R186" s="119"/>
    </row>
    <row r="187" spans="1:18" x14ac:dyDescent="0.25">
      <c r="A187" s="307"/>
      <c r="B187" s="246"/>
      <c r="C187" s="247"/>
      <c r="D187" s="247"/>
      <c r="E187" s="247"/>
      <c r="F187" s="248"/>
      <c r="G187" s="248"/>
      <c r="H187" s="249"/>
      <c r="I187" s="250"/>
      <c r="R187" s="119"/>
    </row>
    <row r="188" spans="1:18" x14ac:dyDescent="0.25">
      <c r="A188" s="307"/>
      <c r="B188" s="251" t="s">
        <v>150</v>
      </c>
      <c r="C188" s="311" t="s">
        <v>151</v>
      </c>
      <c r="D188" s="311"/>
      <c r="E188" s="311"/>
      <c r="F188" s="252"/>
      <c r="G188" s="252"/>
      <c r="H188" s="253"/>
      <c r="I188" s="254"/>
      <c r="R188" s="119"/>
    </row>
    <row r="189" spans="1:18" x14ac:dyDescent="0.25">
      <c r="A189" s="307"/>
      <c r="B189" s="255"/>
      <c r="C189" s="256"/>
      <c r="D189" s="256"/>
      <c r="E189" s="256"/>
      <c r="F189" s="252"/>
      <c r="G189" s="252" t="s">
        <v>152</v>
      </c>
      <c r="H189" s="253"/>
      <c r="I189" s="254"/>
      <c r="R189" s="119"/>
    </row>
    <row r="190" spans="1:18" x14ac:dyDescent="0.25">
      <c r="A190" s="307"/>
      <c r="B190" s="251" t="s">
        <v>184</v>
      </c>
      <c r="C190" s="257"/>
      <c r="D190" s="256"/>
      <c r="E190" s="258"/>
      <c r="F190" s="252"/>
      <c r="G190" s="252"/>
      <c r="H190" s="253"/>
      <c r="I190" s="254"/>
      <c r="R190" s="119"/>
    </row>
    <row r="191" spans="1:18" ht="15" customHeight="1" x14ac:dyDescent="0.25">
      <c r="A191" s="307"/>
      <c r="B191" s="251" t="s">
        <v>268</v>
      </c>
      <c r="C191" s="256">
        <f>COUNTIF('Analyses descriptives'!$F$20:$F$30,"&lt;=85")</f>
        <v>0</v>
      </c>
      <c r="D191" s="256"/>
      <c r="E191" s="258"/>
      <c r="F191" s="310" t="s">
        <v>153</v>
      </c>
      <c r="G191" s="252" t="s">
        <v>27</v>
      </c>
      <c r="H191" s="259">
        <f>AVERAGE('Analyses descriptives'!$F$20:$F$30)</f>
        <v>90.6</v>
      </c>
      <c r="I191" s="270">
        <f>H191/12</f>
        <v>7.55</v>
      </c>
      <c r="R191" s="119"/>
    </row>
    <row r="192" spans="1:18" x14ac:dyDescent="0.25">
      <c r="A192" s="307"/>
      <c r="B192" s="251" t="s">
        <v>269</v>
      </c>
      <c r="C192" s="256">
        <f>COUNTIFS('Analyses descriptives'!$F$20:$F$30,"&gt;=86",'Analyses descriptives'!$F$20:$F$30,"&lt;=87")</f>
        <v>1</v>
      </c>
      <c r="D192" s="256"/>
      <c r="E192" s="258"/>
      <c r="F192" s="310"/>
      <c r="G192" s="252" t="s">
        <v>28</v>
      </c>
      <c r="H192" s="259">
        <f>MEDIAN('Analyses descriptives'!$F$20:$F$30)</f>
        <v>90.5</v>
      </c>
      <c r="I192" s="270">
        <f t="shared" ref="I192:I195" si="3">H192/12</f>
        <v>7.541666666666667</v>
      </c>
      <c r="R192" s="119"/>
    </row>
    <row r="193" spans="1:19" x14ac:dyDescent="0.25">
      <c r="A193" s="307"/>
      <c r="B193" s="251" t="s">
        <v>270</v>
      </c>
      <c r="C193" s="256">
        <f>COUNTIFS('Analyses descriptives'!$F$20:$F$30,"&gt;=88",'Analyses descriptives'!$F$20:$F$30,"&lt;=89")</f>
        <v>3</v>
      </c>
      <c r="D193" s="256"/>
      <c r="E193" s="258"/>
      <c r="F193" s="310"/>
      <c r="G193" s="252" t="s">
        <v>29</v>
      </c>
      <c r="H193" s="259">
        <f>MODE('Analyses descriptives'!$F$20:$F$30)</f>
        <v>92</v>
      </c>
      <c r="I193" s="270">
        <f t="shared" si="3"/>
        <v>7.666666666666667</v>
      </c>
      <c r="R193" s="119"/>
    </row>
    <row r="194" spans="1:19" x14ac:dyDescent="0.25">
      <c r="A194" s="307"/>
      <c r="B194" s="251" t="s">
        <v>271</v>
      </c>
      <c r="C194" s="256">
        <f>COUNTIFS('Analyses descriptives'!$F$20:$F$30,"&gt;=90",'Analyses descriptives'!$F$20:$F$30,"&lt;=91")</f>
        <v>2</v>
      </c>
      <c r="D194" s="256"/>
      <c r="E194" s="258"/>
      <c r="F194" s="260"/>
      <c r="G194" s="252" t="s">
        <v>154</v>
      </c>
      <c r="H194" s="259">
        <f>MIN('Analyses descriptives'!$F$20:$F$30)</f>
        <v>86</v>
      </c>
      <c r="I194" s="270">
        <f t="shared" si="3"/>
        <v>7.166666666666667</v>
      </c>
      <c r="R194" s="119"/>
    </row>
    <row r="195" spans="1:19" x14ac:dyDescent="0.25">
      <c r="A195" s="307"/>
      <c r="B195" s="251" t="s">
        <v>272</v>
      </c>
      <c r="C195" s="256">
        <f>COUNTIFS('Analyses descriptives'!$F$20:$F$30,"&gt;=92",'Analyses descriptives'!$F$20:$F$30,"&lt;=93")</f>
        <v>2</v>
      </c>
      <c r="D195" s="256"/>
      <c r="E195" s="258"/>
      <c r="F195" s="260"/>
      <c r="G195" s="252" t="s">
        <v>155</v>
      </c>
      <c r="H195" s="259">
        <f>MAX('Analyses descriptives'!$F$20:$F$30)</f>
        <v>95</v>
      </c>
      <c r="I195" s="270">
        <f t="shared" si="3"/>
        <v>7.916666666666667</v>
      </c>
      <c r="R195" s="119"/>
    </row>
    <row r="196" spans="1:19" x14ac:dyDescent="0.25">
      <c r="A196" s="307"/>
      <c r="B196" s="251" t="s">
        <v>273</v>
      </c>
      <c r="C196" s="256">
        <f>COUNTIF('Analyses descriptives'!$F$20:$F$30,"&gt;=94")</f>
        <v>2</v>
      </c>
      <c r="D196" s="256"/>
      <c r="E196" s="258"/>
      <c r="F196" s="260"/>
      <c r="G196" s="252" t="s">
        <v>156</v>
      </c>
      <c r="H196" s="261">
        <f>COUNT('Analyses descriptives'!$F$20:$F$30)</f>
        <v>10</v>
      </c>
      <c r="I196" s="254"/>
      <c r="R196" s="119"/>
    </row>
    <row r="197" spans="1:19" x14ac:dyDescent="0.25">
      <c r="A197" s="307"/>
      <c r="B197" s="251"/>
      <c r="C197" s="256"/>
      <c r="D197" s="256"/>
      <c r="E197" s="258"/>
      <c r="F197" s="252"/>
      <c r="G197" s="252"/>
      <c r="H197" s="253"/>
      <c r="I197" s="254"/>
      <c r="R197" s="119"/>
    </row>
    <row r="198" spans="1:19" ht="15" customHeight="1" x14ac:dyDescent="0.25">
      <c r="A198" s="307"/>
      <c r="B198" s="251"/>
      <c r="C198" s="256"/>
      <c r="D198" s="258"/>
      <c r="E198" s="258"/>
      <c r="F198" s="310" t="s">
        <v>157</v>
      </c>
      <c r="G198" s="252" t="s">
        <v>158</v>
      </c>
      <c r="H198" s="253">
        <f>IF(OR(ISBLANK(H194),ISBLANK(H195)),"",H195-H194)</f>
        <v>9</v>
      </c>
      <c r="I198" s="270">
        <f t="shared" ref="I198:I200" si="4">H198/12</f>
        <v>0.75</v>
      </c>
      <c r="R198" s="119"/>
    </row>
    <row r="199" spans="1:19" x14ac:dyDescent="0.25">
      <c r="A199" s="307"/>
      <c r="B199" s="251" t="s">
        <v>159</v>
      </c>
      <c r="C199" s="256">
        <f>IF(ISBLANK(C191),"",SUM(C191:C197))</f>
        <v>10</v>
      </c>
      <c r="D199" s="256"/>
      <c r="E199" s="256"/>
      <c r="F199" s="310"/>
      <c r="G199" s="252" t="s">
        <v>160</v>
      </c>
      <c r="H199" s="259">
        <f>STDEV('Analyses descriptives'!$F$20:$F$30)</f>
        <v>2.7568097504180447</v>
      </c>
      <c r="I199" s="270">
        <f t="shared" si="4"/>
        <v>0.2297341458681704</v>
      </c>
      <c r="R199" s="119"/>
    </row>
    <row r="200" spans="1:19" x14ac:dyDescent="0.25">
      <c r="A200" s="307"/>
      <c r="B200" s="251"/>
      <c r="C200" s="256"/>
      <c r="D200" s="256"/>
      <c r="E200" s="256"/>
      <c r="F200" s="310"/>
      <c r="G200" s="252" t="s">
        <v>45</v>
      </c>
      <c r="H200" s="261">
        <f>IF(ISBLANK(H199),"",H199^2)</f>
        <v>7.6000000000000014</v>
      </c>
      <c r="I200" s="270">
        <f t="shared" si="4"/>
        <v>0.63333333333333341</v>
      </c>
      <c r="R200" s="119"/>
    </row>
    <row r="201" spans="1:19" x14ac:dyDescent="0.25">
      <c r="A201" s="307"/>
      <c r="B201" s="132" t="s">
        <v>161</v>
      </c>
      <c r="C201" s="133" t="str">
        <f>IF(ISBLANK(H196),"",IF(H196=C199,"","Check"))</f>
        <v/>
      </c>
      <c r="D201" s="256"/>
      <c r="E201" s="256"/>
      <c r="F201" s="310"/>
      <c r="G201" s="252" t="s">
        <v>162</v>
      </c>
      <c r="H201" s="259">
        <f>IF(OR(ISBLANK(H191),ISBLANK(H199)),"",H199/H191)</f>
        <v>3.0428363691148399E-2</v>
      </c>
      <c r="I201" s="254"/>
      <c r="K201" s="134">
        <f>IF(H201="","",H201*100)</f>
        <v>3.0428363691148399</v>
      </c>
      <c r="L201" t="s">
        <v>163</v>
      </c>
      <c r="R201" s="119"/>
    </row>
    <row r="202" spans="1:19" ht="15" customHeight="1" x14ac:dyDescent="0.25">
      <c r="A202" s="307"/>
      <c r="B202" s="302" t="s">
        <v>164</v>
      </c>
      <c r="C202" s="303"/>
      <c r="D202" s="256"/>
      <c r="E202" s="256"/>
      <c r="F202" s="252"/>
      <c r="G202" s="252"/>
      <c r="H202" s="253"/>
      <c r="I202" s="254"/>
      <c r="K202" t="str">
        <f>IF(K201&gt;50,"vos données ne sont pas très homogènes car plus de la moitié de votre moyenne est expliquée par l'écart-type","")</f>
        <v/>
      </c>
      <c r="R202" s="119"/>
    </row>
    <row r="203" spans="1:19" ht="15" customHeight="1" x14ac:dyDescent="0.25">
      <c r="A203" s="307"/>
      <c r="B203" s="302"/>
      <c r="C203" s="303"/>
      <c r="D203" s="256"/>
      <c r="E203" s="256"/>
      <c r="F203" s="310" t="s">
        <v>165</v>
      </c>
      <c r="G203" s="252" t="s">
        <v>166</v>
      </c>
      <c r="H203" s="262">
        <f>KURT('Analyses descriptives'!$F$20:$F$30)</f>
        <v>-0.47437673130193891</v>
      </c>
      <c r="I203" s="254"/>
      <c r="R203" s="119"/>
    </row>
    <row r="204" spans="1:19" x14ac:dyDescent="0.25">
      <c r="A204" s="307"/>
      <c r="B204" s="302"/>
      <c r="C204" s="303"/>
      <c r="D204" s="256"/>
      <c r="E204" s="256"/>
      <c r="F204" s="310"/>
      <c r="G204" s="252" t="s">
        <v>167</v>
      </c>
      <c r="H204" s="262">
        <f>SKEW('Analyses descriptives'!$F$20:$F$30)</f>
        <v>4.4546787287464452E-2</v>
      </c>
      <c r="I204" s="254"/>
      <c r="K204" t="str">
        <f>IF(H204&gt;1, "Un coefficient positif indique une distribution décalée à gauche de la médiane, et donc une queue de distribution étalée vers la droite.",IF(H204&lt;-1,"Un coefficient négatif indique une distribution décalée à droite de la médiane, et donc une queue de distribution étalée vers la gauche.","Un coefficient proche de 0 indique une distribution symétrique avec la moyenne équivalente à la médiane."))</f>
        <v>Un coefficient proche de 0 indique une distribution symétrique avec la moyenne équivalente à la médiane.</v>
      </c>
      <c r="R204" s="119"/>
    </row>
    <row r="205" spans="1:19" x14ac:dyDescent="0.25">
      <c r="A205" s="307"/>
      <c r="B205" s="302"/>
      <c r="C205" s="303"/>
      <c r="D205" s="256"/>
      <c r="E205" s="256"/>
      <c r="F205" s="310"/>
      <c r="G205" s="252" t="s">
        <v>168</v>
      </c>
      <c r="H205" s="262">
        <f>IF(OR(ISBLANK(H196),ISBLANK(H199)),"",(H200/H196)^0.5)</f>
        <v>0.87177978870813477</v>
      </c>
      <c r="I205" s="254"/>
      <c r="K205" t="s">
        <v>169</v>
      </c>
      <c r="Q205" s="135">
        <f>IF(ISBLANK(H191),"",H191-(H205*1.96))</f>
        <v>88.89131161413205</v>
      </c>
      <c r="R205" s="136" t="s">
        <v>170</v>
      </c>
      <c r="S205" s="135">
        <f>IF(ISBLANK(H191),"",H191+(H205*1.96))</f>
        <v>92.308688385867939</v>
      </c>
    </row>
    <row r="206" spans="1:19" x14ac:dyDescent="0.25">
      <c r="A206" s="307"/>
      <c r="B206" s="302"/>
      <c r="C206" s="303"/>
      <c r="D206" s="256"/>
      <c r="E206" s="256"/>
      <c r="F206" s="310"/>
      <c r="G206" s="252"/>
      <c r="H206" s="253"/>
      <c r="I206" s="254"/>
      <c r="R206" s="119"/>
    </row>
    <row r="207" spans="1:19" ht="15" customHeight="1" x14ac:dyDescent="0.25">
      <c r="A207" s="307"/>
      <c r="B207" s="263"/>
      <c r="C207" s="264"/>
      <c r="D207" s="256"/>
      <c r="E207" s="256"/>
      <c r="F207" s="310" t="s">
        <v>171</v>
      </c>
      <c r="G207" s="252" t="s">
        <v>172</v>
      </c>
      <c r="H207" s="253">
        <f>QUARTILE('Analyses descriptives'!$F$20:$F$30,1)</f>
        <v>89</v>
      </c>
      <c r="I207" s="270">
        <f t="shared" ref="I207:I210" si="5">H207/12</f>
        <v>7.416666666666667</v>
      </c>
      <c r="R207" s="119"/>
    </row>
    <row r="208" spans="1:19" x14ac:dyDescent="0.25">
      <c r="A208" s="307"/>
      <c r="B208" s="263"/>
      <c r="C208" s="264"/>
      <c r="D208" s="256"/>
      <c r="E208" s="256"/>
      <c r="F208" s="310"/>
      <c r="G208" s="252" t="s">
        <v>173</v>
      </c>
      <c r="H208" s="253">
        <f>QUARTILE('Analyses descriptives'!$F$20:$F$30,2)</f>
        <v>90.5</v>
      </c>
      <c r="I208" s="270">
        <f t="shared" si="5"/>
        <v>7.541666666666667</v>
      </c>
      <c r="R208" s="119"/>
    </row>
    <row r="209" spans="1:18" x14ac:dyDescent="0.25">
      <c r="A209" s="307"/>
      <c r="B209" s="255"/>
      <c r="C209" s="256"/>
      <c r="D209" s="256"/>
      <c r="E209" s="256"/>
      <c r="F209" s="310"/>
      <c r="G209" s="252" t="s">
        <v>174</v>
      </c>
      <c r="H209" s="253">
        <f>QUARTILE('Analyses descriptives'!$F$20:$F$30,3)</f>
        <v>92</v>
      </c>
      <c r="I209" s="270">
        <f t="shared" si="5"/>
        <v>7.666666666666667</v>
      </c>
      <c r="R209" s="119"/>
    </row>
    <row r="210" spans="1:18" x14ac:dyDescent="0.25">
      <c r="A210" s="307"/>
      <c r="B210" s="255"/>
      <c r="C210" s="256"/>
      <c r="D210" s="256"/>
      <c r="E210" s="256"/>
      <c r="F210" s="310"/>
      <c r="G210" s="252" t="s">
        <v>175</v>
      </c>
      <c r="H210" s="253">
        <f>QUARTILE('Analyses descriptives'!$F$20:$F$30,4)</f>
        <v>95</v>
      </c>
      <c r="I210" s="270">
        <f t="shared" si="5"/>
        <v>7.916666666666667</v>
      </c>
      <c r="R210" s="119"/>
    </row>
    <row r="211" spans="1:18" x14ac:dyDescent="0.25">
      <c r="A211" s="307"/>
      <c r="B211" s="255"/>
      <c r="C211" s="256"/>
      <c r="D211" s="256"/>
      <c r="E211" s="256"/>
      <c r="F211" s="252"/>
      <c r="G211" s="252"/>
      <c r="H211" s="253"/>
      <c r="I211" s="254"/>
      <c r="R211" s="119"/>
    </row>
    <row r="212" spans="1:18" ht="15" customHeight="1" x14ac:dyDescent="0.25">
      <c r="A212" s="307"/>
      <c r="B212" s="255"/>
      <c r="C212" s="256"/>
      <c r="D212" s="256"/>
      <c r="E212" s="256"/>
      <c r="F212" s="310" t="s">
        <v>176</v>
      </c>
      <c r="G212" s="252" t="s">
        <v>177</v>
      </c>
      <c r="H212" s="259">
        <f>IF(ISBLANK(H199),"",H191-1.96*H199)</f>
        <v>85.196652889180626</v>
      </c>
      <c r="I212" s="270">
        <f>H212/12</f>
        <v>7.0997210740983858</v>
      </c>
      <c r="R212" s="119"/>
    </row>
    <row r="213" spans="1:18" x14ac:dyDescent="0.25">
      <c r="A213" s="307"/>
      <c r="B213" s="255"/>
      <c r="C213" s="256"/>
      <c r="D213" s="256"/>
      <c r="E213" s="256"/>
      <c r="F213" s="310"/>
      <c r="G213" s="252" t="s">
        <v>178</v>
      </c>
      <c r="H213" s="253">
        <f>IF(ISBLANK(H199),"",COUNTIF('Analyses descriptives'!$F$20:$F$30,"&lt;"&amp;H212))</f>
        <v>0</v>
      </c>
      <c r="I213" s="254"/>
      <c r="K213" t="str">
        <f>IF(OR(ISBLANK(H199),H213=0),"","Au niveau de la distribution, il existe" )</f>
        <v/>
      </c>
      <c r="L213" t="str">
        <f>IF(H213=0,"",H213)</f>
        <v/>
      </c>
      <c r="M213" t="str">
        <f>IF(OR(ISBLANK(H199),H213=0),"","valeurs extrêmes à gauche. Vous devez considérer ce fait lors de vos analyses statistiques car cela peut introduire des biais ou diminuer la significativité de certains tests" )</f>
        <v/>
      </c>
      <c r="R213" s="119"/>
    </row>
    <row r="214" spans="1:18" x14ac:dyDescent="0.25">
      <c r="A214" s="307"/>
      <c r="B214" s="255"/>
      <c r="C214" s="256"/>
      <c r="D214" s="256"/>
      <c r="E214" s="256"/>
      <c r="F214" s="310"/>
      <c r="G214" s="252" t="s">
        <v>179</v>
      </c>
      <c r="H214" s="259">
        <f>IF(ISBLANK(H199),"",H191+1.96*H199)</f>
        <v>96.003347110819362</v>
      </c>
      <c r="I214" s="270">
        <f>H214/12</f>
        <v>8.0002789259016129</v>
      </c>
      <c r="R214" s="119"/>
    </row>
    <row r="215" spans="1:18" x14ac:dyDescent="0.25">
      <c r="A215" s="307"/>
      <c r="B215" s="255"/>
      <c r="C215" s="256"/>
      <c r="D215" s="256"/>
      <c r="E215" s="256"/>
      <c r="F215" s="310"/>
      <c r="G215" s="252" t="s">
        <v>180</v>
      </c>
      <c r="H215" s="253">
        <f>IF(ISBLANK(H199),"",COUNTIF('Analyses descriptives'!$F$20:$F$30,"&gt;"&amp;H214))</f>
        <v>0</v>
      </c>
      <c r="I215" s="254"/>
      <c r="K215" t="str">
        <f>IF(OR(ISBLANK(H199),H215=0),"","Au niveau de la distribution, il existe" )</f>
        <v/>
      </c>
      <c r="L215" t="str">
        <f>IF(H215=0,"",H215)</f>
        <v/>
      </c>
      <c r="M215" t="str">
        <f>IF(OR(ISBLANK(H199),H215=0),"","valeurs extrêmes à droite. Vous devez considérer ce fait lors de vos analyses statistiques car cela peut introduire des biais ou diminuer la significativité de certains tests" )</f>
        <v/>
      </c>
      <c r="R215" s="119"/>
    </row>
    <row r="216" spans="1:18" ht="15.75" thickBot="1" x14ac:dyDescent="0.3">
      <c r="A216" s="307"/>
      <c r="B216" s="265"/>
      <c r="C216" s="266"/>
      <c r="D216" s="266"/>
      <c r="E216" s="266"/>
      <c r="F216" s="267"/>
      <c r="G216" s="267"/>
      <c r="H216" s="268"/>
      <c r="I216" s="269"/>
      <c r="R216" s="119"/>
    </row>
    <row r="217" spans="1:18" x14ac:dyDescent="0.25">
      <c r="A217" s="307"/>
    </row>
    <row r="218" spans="1:18" x14ac:dyDescent="0.25">
      <c r="A218" s="307"/>
    </row>
    <row r="219" spans="1:18" ht="15.75" thickBot="1" x14ac:dyDescent="0.3">
      <c r="A219" s="307"/>
    </row>
    <row r="220" spans="1:18" ht="15.75" thickBot="1" x14ac:dyDescent="0.3">
      <c r="A220" s="307"/>
      <c r="B220" s="145" t="str">
        <f>'Analyses descriptives'!E19</f>
        <v>Note standard Equilibre</v>
      </c>
      <c r="C220" s="146"/>
      <c r="D220" s="146"/>
      <c r="E220" s="146"/>
      <c r="F220" s="146"/>
      <c r="G220" s="146"/>
      <c r="H220" s="233"/>
      <c r="I220" s="147"/>
      <c r="R220" s="119"/>
    </row>
    <row r="221" spans="1:18" x14ac:dyDescent="0.25">
      <c r="A221" s="307"/>
      <c r="B221" s="148"/>
      <c r="C221" s="149"/>
      <c r="D221" s="149"/>
      <c r="E221" s="149"/>
      <c r="F221" s="150"/>
      <c r="G221" s="150"/>
      <c r="H221" s="234"/>
      <c r="I221" s="151"/>
      <c r="R221" s="119"/>
    </row>
    <row r="222" spans="1:18" x14ac:dyDescent="0.25">
      <c r="A222" s="307"/>
      <c r="B222" s="152" t="s">
        <v>150</v>
      </c>
      <c r="C222" s="279" t="s">
        <v>151</v>
      </c>
      <c r="D222" s="279"/>
      <c r="E222" s="279"/>
      <c r="F222" s="153"/>
      <c r="G222" s="153"/>
      <c r="H222" s="235"/>
      <c r="I222" s="155"/>
      <c r="R222" s="119"/>
    </row>
    <row r="223" spans="1:18" x14ac:dyDescent="0.25">
      <c r="A223" s="307"/>
      <c r="B223" s="156"/>
      <c r="C223" s="154"/>
      <c r="D223" s="154"/>
      <c r="E223" s="154"/>
      <c r="F223" s="153"/>
      <c r="G223" s="153" t="s">
        <v>152</v>
      </c>
      <c r="H223" s="235"/>
      <c r="I223" s="155"/>
      <c r="R223" s="119"/>
    </row>
    <row r="224" spans="1:18" x14ac:dyDescent="0.25">
      <c r="A224" s="307"/>
      <c r="B224" s="152" t="s">
        <v>184</v>
      </c>
      <c r="C224" s="157"/>
      <c r="D224" s="154"/>
      <c r="E224" s="158"/>
      <c r="F224" s="153"/>
      <c r="G224" s="153"/>
      <c r="H224" s="235"/>
      <c r="I224" s="155"/>
      <c r="R224" s="119"/>
    </row>
    <row r="225" spans="1:19" ht="15" customHeight="1" x14ac:dyDescent="0.25">
      <c r="A225" s="307"/>
      <c r="B225" s="152" t="s">
        <v>243</v>
      </c>
      <c r="C225" s="154">
        <f>COUNTIF('Analyses descriptives'!$E$20:$E$30,"&lt;4")</f>
        <v>0</v>
      </c>
      <c r="D225" s="154"/>
      <c r="E225" s="158"/>
      <c r="F225" s="305" t="s">
        <v>153</v>
      </c>
      <c r="G225" s="153" t="s">
        <v>27</v>
      </c>
      <c r="H225" s="236">
        <f>AVERAGE('Analyses descriptives'!$E$20:$E$30)</f>
        <v>11.5</v>
      </c>
      <c r="I225" s="155"/>
      <c r="R225" s="119"/>
    </row>
    <row r="226" spans="1:19" x14ac:dyDescent="0.25">
      <c r="A226" s="307"/>
      <c r="B226" s="152" t="s">
        <v>244</v>
      </c>
      <c r="C226" s="154">
        <f>COUNTIFS('Analyses descriptives'!$E$20:$E$30,"&gt;=4",'Analyses descriptives'!$E$20:$E$30,"&lt;8")</f>
        <v>1</v>
      </c>
      <c r="D226" s="154"/>
      <c r="E226" s="158"/>
      <c r="F226" s="305"/>
      <c r="G226" s="153" t="s">
        <v>28</v>
      </c>
      <c r="H226" s="236">
        <f>MEDIAN('Analyses descriptives'!$E$20:$E$30)</f>
        <v>11</v>
      </c>
      <c r="I226" s="155"/>
      <c r="R226" s="119"/>
    </row>
    <row r="227" spans="1:19" x14ac:dyDescent="0.25">
      <c r="A227" s="307"/>
      <c r="B227" s="152" t="s">
        <v>245</v>
      </c>
      <c r="C227" s="154">
        <f>COUNTIFS('Analyses descriptives'!$E$20:$E$30,"&gt;=8",'Analyses descriptives'!$E$20:$E$30,"&lt;12")</f>
        <v>5</v>
      </c>
      <c r="D227" s="154"/>
      <c r="E227" s="158"/>
      <c r="F227" s="305"/>
      <c r="G227" s="153" t="s">
        <v>29</v>
      </c>
      <c r="H227" s="236">
        <f>MODE('Analyses descriptives'!$E$20:$E$30)</f>
        <v>15</v>
      </c>
      <c r="I227" s="155"/>
      <c r="R227" s="119"/>
    </row>
    <row r="228" spans="1:19" x14ac:dyDescent="0.25">
      <c r="A228" s="307"/>
      <c r="B228" s="152" t="s">
        <v>246</v>
      </c>
      <c r="C228" s="154">
        <f>COUNTIFS('Analyses descriptives'!$E$20:$E$30,"&gt;=12",'Analyses descriptives'!$E$20:$E$30,"&lt;16")</f>
        <v>3</v>
      </c>
      <c r="D228" s="154"/>
      <c r="E228" s="158"/>
      <c r="F228" s="159"/>
      <c r="G228" s="153" t="s">
        <v>154</v>
      </c>
      <c r="H228" s="236">
        <f>MIN('Analyses descriptives'!$E$20:$E$30)</f>
        <v>7</v>
      </c>
      <c r="I228" s="155"/>
      <c r="R228" s="119"/>
    </row>
    <row r="229" spans="1:19" x14ac:dyDescent="0.25">
      <c r="A229" s="307"/>
      <c r="B229" s="152" t="s">
        <v>247</v>
      </c>
      <c r="C229" s="154">
        <f>COUNTIFS('Analyses descriptives'!$E$20:$E$30,"&gt;=16",'Analyses descriptives'!$E$20:$E$30,"&lt;20")</f>
        <v>1</v>
      </c>
      <c r="D229" s="154"/>
      <c r="E229" s="158"/>
      <c r="F229" s="159"/>
      <c r="G229" s="153" t="s">
        <v>155</v>
      </c>
      <c r="H229" s="236">
        <f>MAX('Analyses descriptives'!$E$20:$E$30)</f>
        <v>16</v>
      </c>
      <c r="I229" s="155"/>
      <c r="R229" s="119"/>
    </row>
    <row r="230" spans="1:19" x14ac:dyDescent="0.25">
      <c r="A230" s="307"/>
      <c r="B230" s="152" t="s">
        <v>248</v>
      </c>
      <c r="C230" s="154">
        <f>COUNTIF('Analyses descriptives'!$E$20:$E$30,"&gt;=20")</f>
        <v>0</v>
      </c>
      <c r="D230" s="154"/>
      <c r="E230" s="158"/>
      <c r="F230" s="159"/>
      <c r="G230" s="153" t="s">
        <v>156</v>
      </c>
      <c r="H230" s="237">
        <f>COUNT('Analyses descriptives'!$E$20:$E$30)</f>
        <v>10</v>
      </c>
      <c r="I230" s="155"/>
      <c r="R230" s="119"/>
    </row>
    <row r="231" spans="1:19" x14ac:dyDescent="0.25">
      <c r="A231" s="307"/>
      <c r="B231" s="152"/>
      <c r="C231" s="154"/>
      <c r="D231" s="154"/>
      <c r="E231" s="158"/>
      <c r="F231" s="153"/>
      <c r="G231" s="153"/>
      <c r="H231" s="235"/>
      <c r="I231" s="155"/>
      <c r="R231" s="119"/>
    </row>
    <row r="232" spans="1:19" ht="15" customHeight="1" x14ac:dyDescent="0.25">
      <c r="A232" s="307"/>
      <c r="B232" s="152"/>
      <c r="C232" s="154"/>
      <c r="D232" s="158"/>
      <c r="E232" s="158"/>
      <c r="F232" s="305" t="s">
        <v>157</v>
      </c>
      <c r="G232" s="153" t="s">
        <v>158</v>
      </c>
      <c r="H232" s="235">
        <f>IF(OR(ISBLANK(H228),ISBLANK(H229)),"",H229-H228)</f>
        <v>9</v>
      </c>
      <c r="I232" s="155"/>
      <c r="R232" s="119"/>
    </row>
    <row r="233" spans="1:19" x14ac:dyDescent="0.25">
      <c r="A233" s="307"/>
      <c r="B233" s="152" t="s">
        <v>159</v>
      </c>
      <c r="C233" s="154">
        <f>IF(ISBLANK(C225),"",SUM(C225:C231))</f>
        <v>10</v>
      </c>
      <c r="D233" s="154"/>
      <c r="E233" s="154"/>
      <c r="F233" s="305"/>
      <c r="G233" s="153" t="s">
        <v>160</v>
      </c>
      <c r="H233" s="236">
        <f>STDEV('Analyses descriptives'!$E$20:$E$30)</f>
        <v>3.0276503540974917</v>
      </c>
      <c r="I233" s="155"/>
      <c r="R233" s="119"/>
    </row>
    <row r="234" spans="1:19" x14ac:dyDescent="0.25">
      <c r="A234" s="307"/>
      <c r="B234" s="152"/>
      <c r="C234" s="154"/>
      <c r="D234" s="154"/>
      <c r="E234" s="154"/>
      <c r="F234" s="305"/>
      <c r="G234" s="153" t="s">
        <v>45</v>
      </c>
      <c r="H234" s="237">
        <f>IF(ISBLANK(H233),"",H233^2)</f>
        <v>9.1666666666666679</v>
      </c>
      <c r="I234" s="155"/>
      <c r="R234" s="119"/>
    </row>
    <row r="235" spans="1:19" x14ac:dyDescent="0.25">
      <c r="A235" s="307"/>
      <c r="B235" s="132" t="s">
        <v>161</v>
      </c>
      <c r="C235" s="133" t="str">
        <f>IF(ISBLANK(H230),"",IF(H230=C233,"","Check"))</f>
        <v/>
      </c>
      <c r="D235" s="154"/>
      <c r="E235" s="154"/>
      <c r="F235" s="305"/>
      <c r="G235" s="153" t="s">
        <v>162</v>
      </c>
      <c r="H235" s="236">
        <f>IF(OR(ISBLANK(H225),ISBLANK(H233)),"",H233/H225)</f>
        <v>0.26327394383456448</v>
      </c>
      <c r="I235" s="155"/>
      <c r="K235" s="134">
        <f>IF(H235="","",H235*100)</f>
        <v>26.327394383456447</v>
      </c>
      <c r="L235" t="s">
        <v>163</v>
      </c>
      <c r="R235" s="119"/>
    </row>
    <row r="236" spans="1:19" ht="15" customHeight="1" x14ac:dyDescent="0.25">
      <c r="A236" s="307"/>
      <c r="B236" s="302" t="s">
        <v>274</v>
      </c>
      <c r="C236" s="303"/>
      <c r="D236" s="154"/>
      <c r="E236" s="154"/>
      <c r="F236" s="153"/>
      <c r="G236" s="153"/>
      <c r="H236" s="235"/>
      <c r="I236" s="155"/>
      <c r="K236" t="str">
        <f>IF(K235&gt;50,"vos données ne sont pas très homogènes car plus de la moitié de votre moyenne est expliquée par l'écart-type","")</f>
        <v/>
      </c>
      <c r="R236" s="119"/>
    </row>
    <row r="237" spans="1:19" ht="15" customHeight="1" x14ac:dyDescent="0.25">
      <c r="A237" s="307"/>
      <c r="B237" s="302"/>
      <c r="C237" s="303"/>
      <c r="D237" s="154"/>
      <c r="E237" s="154"/>
      <c r="F237" s="305" t="s">
        <v>165</v>
      </c>
      <c r="G237" s="153" t="s">
        <v>166</v>
      </c>
      <c r="H237" s="238">
        <f>KURT('Analyses descriptives'!$E$20:$E$30)</f>
        <v>-1.0129870129870122</v>
      </c>
      <c r="I237" s="155"/>
      <c r="R237" s="119"/>
    </row>
    <row r="238" spans="1:19" x14ac:dyDescent="0.25">
      <c r="A238" s="307"/>
      <c r="B238" s="302"/>
      <c r="C238" s="303"/>
      <c r="D238" s="154"/>
      <c r="E238" s="154"/>
      <c r="F238" s="305"/>
      <c r="G238" s="153" t="s">
        <v>167</v>
      </c>
      <c r="H238" s="238">
        <f>SKEW('Analyses descriptives'!$E$20:$E$30)</f>
        <v>0.18015770702067724</v>
      </c>
      <c r="I238" s="155"/>
      <c r="K238" t="str">
        <f>IF(H238&gt;1, "Un coefficient positif indique une distribution décalée à gauche de la médiane, et donc une queue de distribution étalée vers la droite.",IF(H238&lt;-1,"Un coefficient négatif indique une distribution décalée à droite de la médiane, et donc une queue de distribution étalée vers la gauche.","Un coefficient proche de 0 indique une distribution symétrique avec la moyenne équivalente à la médiane."))</f>
        <v>Un coefficient proche de 0 indique une distribution symétrique avec la moyenne équivalente à la médiane.</v>
      </c>
      <c r="R238" s="119"/>
    </row>
    <row r="239" spans="1:19" x14ac:dyDescent="0.25">
      <c r="A239" s="307"/>
      <c r="B239" s="302"/>
      <c r="C239" s="303"/>
      <c r="D239" s="154"/>
      <c r="E239" s="154"/>
      <c r="F239" s="305"/>
      <c r="G239" s="153" t="s">
        <v>168</v>
      </c>
      <c r="H239" s="238">
        <f>IF(OR(ISBLANK(H230),ISBLANK(H233)),"",(H234/H230)^0.5)</f>
        <v>0.9574271077563381</v>
      </c>
      <c r="I239" s="155"/>
      <c r="K239" t="s">
        <v>169</v>
      </c>
      <c r="Q239" s="135">
        <f>IF(ISBLANK(H225),"",H225-(H239*1.96))</f>
        <v>9.6234428687975768</v>
      </c>
      <c r="R239" s="136" t="s">
        <v>170</v>
      </c>
      <c r="S239" s="135">
        <f>IF(ISBLANK(H225),"",H225+(H239*1.96))</f>
        <v>13.376557131202423</v>
      </c>
    </row>
    <row r="240" spans="1:19" x14ac:dyDescent="0.25">
      <c r="A240" s="307"/>
      <c r="B240" s="302"/>
      <c r="C240" s="303"/>
      <c r="D240" s="154"/>
      <c r="E240" s="154"/>
      <c r="F240" s="305"/>
      <c r="G240" s="153"/>
      <c r="H240" s="235"/>
      <c r="I240" s="155"/>
      <c r="R240" s="119"/>
    </row>
    <row r="241" spans="1:18" ht="15" customHeight="1" x14ac:dyDescent="0.25">
      <c r="A241" s="307"/>
      <c r="B241" s="160"/>
      <c r="C241" s="161"/>
      <c r="D241" s="154"/>
      <c r="E241" s="154"/>
      <c r="F241" s="305" t="s">
        <v>171</v>
      </c>
      <c r="G241" s="153" t="s">
        <v>172</v>
      </c>
      <c r="H241" s="235">
        <f>QUARTILE('Analyses descriptives'!$E$20:$E$30,1)</f>
        <v>10</v>
      </c>
      <c r="I241" s="155"/>
      <c r="R241" s="119"/>
    </row>
    <row r="242" spans="1:18" x14ac:dyDescent="0.25">
      <c r="A242" s="307"/>
      <c r="B242" s="160"/>
      <c r="C242" s="161"/>
      <c r="D242" s="154"/>
      <c r="E242" s="154"/>
      <c r="F242" s="305"/>
      <c r="G242" s="153" t="s">
        <v>173</v>
      </c>
      <c r="H242" s="235">
        <f>QUARTILE('Analyses descriptives'!$E$20:$E$30,2)</f>
        <v>11</v>
      </c>
      <c r="I242" s="155"/>
      <c r="R242" s="119"/>
    </row>
    <row r="243" spans="1:18" x14ac:dyDescent="0.25">
      <c r="A243" s="307"/>
      <c r="B243" s="156"/>
      <c r="C243" s="154"/>
      <c r="D243" s="154"/>
      <c r="E243" s="154"/>
      <c r="F243" s="305"/>
      <c r="G243" s="153" t="s">
        <v>174</v>
      </c>
      <c r="H243" s="235">
        <f>QUARTILE('Analyses descriptives'!$E$20:$E$30,3)</f>
        <v>14.25</v>
      </c>
      <c r="I243" s="155"/>
      <c r="R243" s="119"/>
    </row>
    <row r="244" spans="1:18" x14ac:dyDescent="0.25">
      <c r="A244" s="307"/>
      <c r="B244" s="156"/>
      <c r="C244" s="154"/>
      <c r="D244" s="154"/>
      <c r="E244" s="154"/>
      <c r="F244" s="305"/>
      <c r="G244" s="153" t="s">
        <v>175</v>
      </c>
      <c r="H244" s="235">
        <f>QUARTILE('Analyses descriptives'!$E$20:$E$30,4)</f>
        <v>16</v>
      </c>
      <c r="I244" s="155"/>
      <c r="R244" s="119"/>
    </row>
    <row r="245" spans="1:18" x14ac:dyDescent="0.25">
      <c r="A245" s="307"/>
      <c r="B245" s="156"/>
      <c r="C245" s="154"/>
      <c r="D245" s="154"/>
      <c r="E245" s="154"/>
      <c r="F245" s="153"/>
      <c r="G245" s="153"/>
      <c r="H245" s="235"/>
      <c r="I245" s="155"/>
      <c r="R245" s="119"/>
    </row>
    <row r="246" spans="1:18" ht="15" customHeight="1" x14ac:dyDescent="0.25">
      <c r="A246" s="307"/>
      <c r="B246" s="156"/>
      <c r="C246" s="154"/>
      <c r="D246" s="154"/>
      <c r="E246" s="154"/>
      <c r="F246" s="305" t="s">
        <v>176</v>
      </c>
      <c r="G246" s="153" t="s">
        <v>177</v>
      </c>
      <c r="H246" s="236">
        <f>IF(ISBLANK(H233),"",H225-1.96*H233)</f>
        <v>5.5658053059689161</v>
      </c>
      <c r="I246" s="155"/>
      <c r="R246" s="119"/>
    </row>
    <row r="247" spans="1:18" x14ac:dyDescent="0.25">
      <c r="A247" s="307"/>
      <c r="B247" s="156"/>
      <c r="C247" s="154"/>
      <c r="D247" s="154"/>
      <c r="E247" s="154"/>
      <c r="F247" s="305"/>
      <c r="G247" s="153" t="s">
        <v>178</v>
      </c>
      <c r="H247" s="235">
        <f>IF(ISBLANK(H233),"",COUNTIF('Analyses descriptives'!$E$20:$E$30,"&lt;"&amp;H246))</f>
        <v>0</v>
      </c>
      <c r="I247" s="155"/>
      <c r="K247" t="str">
        <f>IF(OR(ISBLANK(H233),H247=0),"","Au niveau de la distribution, il existe" )</f>
        <v/>
      </c>
      <c r="L247" t="str">
        <f>IF(H247=0,"",H247)</f>
        <v/>
      </c>
      <c r="M247" t="str">
        <f>IF(OR(ISBLANK(H233),H247=0),"","valeurs extrêmes à gauche. Vous devez considérer ce fait lors de vos analyses statistiques car cela peut introduire des biais ou diminuer la significativité de certains tests" )</f>
        <v/>
      </c>
      <c r="R247" s="119"/>
    </row>
    <row r="248" spans="1:18" x14ac:dyDescent="0.25">
      <c r="A248" s="307"/>
      <c r="B248" s="156"/>
      <c r="C248" s="154"/>
      <c r="D248" s="154"/>
      <c r="E248" s="154"/>
      <c r="F248" s="305"/>
      <c r="G248" s="153" t="s">
        <v>179</v>
      </c>
      <c r="H248" s="236">
        <f>IF(ISBLANK(H233),"",H225+1.96*H233)</f>
        <v>17.434194694031085</v>
      </c>
      <c r="I248" s="155"/>
      <c r="R248" s="119"/>
    </row>
    <row r="249" spans="1:18" x14ac:dyDescent="0.25">
      <c r="A249" s="307"/>
      <c r="B249" s="156"/>
      <c r="C249" s="154"/>
      <c r="D249" s="154"/>
      <c r="E249" s="154"/>
      <c r="F249" s="305"/>
      <c r="G249" s="153" t="s">
        <v>180</v>
      </c>
      <c r="H249" s="235">
        <f>IF(ISBLANK(H233),"",COUNTIF('Analyses descriptives'!$E$20:$E$30,"&gt;"&amp;H248))</f>
        <v>0</v>
      </c>
      <c r="I249" s="155"/>
      <c r="K249" t="str">
        <f>IF(OR(ISBLANK(H233),H249=0),"","Au niveau de la distribution, il existe" )</f>
        <v/>
      </c>
      <c r="L249" t="str">
        <f>IF(H249=0,"",H249)</f>
        <v/>
      </c>
      <c r="M249" t="str">
        <f>IF(OR(ISBLANK(H233),H249=0),"","valeurs extrêmes à droite. Vous devez considérer ce fait lors de vos analyses statistiques car cela peut introduire des biais ou diminuer la significativité de certains tests" )</f>
        <v/>
      </c>
      <c r="R249" s="119"/>
    </row>
    <row r="250" spans="1:18" ht="15.75" thickBot="1" x14ac:dyDescent="0.3">
      <c r="A250" s="307"/>
      <c r="B250" s="162"/>
      <c r="C250" s="163"/>
      <c r="D250" s="163"/>
      <c r="E250" s="163"/>
      <c r="F250" s="164"/>
      <c r="G250" s="164"/>
      <c r="H250" s="239"/>
      <c r="I250" s="165"/>
      <c r="R250" s="119"/>
    </row>
    <row r="251" spans="1:18" x14ac:dyDescent="0.25">
      <c r="A251" s="181"/>
    </row>
    <row r="252" spans="1:18" x14ac:dyDescent="0.25">
      <c r="A252" s="181"/>
    </row>
    <row r="253" spans="1:18" ht="15.75" thickBot="1" x14ac:dyDescent="0.3">
      <c r="A253" s="181"/>
    </row>
    <row r="254" spans="1:18" ht="15.75" thickBot="1" x14ac:dyDescent="0.3">
      <c r="A254" s="181"/>
      <c r="B254" s="116" t="str">
        <f>DATA!N4</f>
        <v xml:space="preserve">Score d'attention sélective (G) </v>
      </c>
      <c r="C254" s="117"/>
      <c r="D254" s="117"/>
      <c r="E254" s="117"/>
      <c r="F254" s="117"/>
      <c r="G254" s="117"/>
      <c r="H254" s="227"/>
      <c r="I254" s="118"/>
      <c r="R254" s="119"/>
    </row>
    <row r="255" spans="1:18" x14ac:dyDescent="0.25">
      <c r="A255" s="181"/>
      <c r="B255" s="120"/>
      <c r="C255" s="121"/>
      <c r="D255" s="121"/>
      <c r="E255" s="121"/>
      <c r="F255" s="122"/>
      <c r="G255" s="122"/>
      <c r="H255" s="228"/>
      <c r="I255" s="123"/>
      <c r="R255" s="119"/>
    </row>
    <row r="256" spans="1:18" x14ac:dyDescent="0.25">
      <c r="A256" s="181"/>
      <c r="B256" s="124" t="s">
        <v>150</v>
      </c>
      <c r="C256" s="280" t="s">
        <v>197</v>
      </c>
      <c r="D256" s="280"/>
      <c r="E256" s="280"/>
      <c r="F256" s="125"/>
      <c r="G256" s="125"/>
      <c r="H256" s="229"/>
      <c r="I256" s="127"/>
      <c r="R256" s="119"/>
    </row>
    <row r="257" spans="1:18" x14ac:dyDescent="0.25">
      <c r="A257" s="181"/>
      <c r="B257" s="128"/>
      <c r="C257" s="126"/>
      <c r="D257" s="126"/>
      <c r="E257" s="126"/>
      <c r="F257" s="125"/>
      <c r="G257" s="125" t="s">
        <v>152</v>
      </c>
      <c r="H257" s="229"/>
      <c r="I257" s="127"/>
      <c r="R257" s="119"/>
    </row>
    <row r="258" spans="1:18" x14ac:dyDescent="0.25">
      <c r="A258" s="181"/>
      <c r="B258" s="124" t="s">
        <v>184</v>
      </c>
      <c r="C258" s="129"/>
      <c r="D258" s="126"/>
      <c r="E258" s="130"/>
      <c r="F258" s="125"/>
      <c r="G258" s="125"/>
      <c r="H258" s="229"/>
      <c r="I258" s="127"/>
      <c r="R258" s="119"/>
    </row>
    <row r="259" spans="1:18" ht="15" customHeight="1" x14ac:dyDescent="0.25">
      <c r="A259" s="181"/>
      <c r="B259" s="124" t="s">
        <v>236</v>
      </c>
      <c r="C259" s="126">
        <f>COUNTIF('Analyses descriptives'!$C$20:$C$30,"&lt;1")</f>
        <v>0</v>
      </c>
      <c r="D259" s="126"/>
      <c r="E259" s="130"/>
      <c r="F259" s="304" t="s">
        <v>153</v>
      </c>
      <c r="G259" s="125" t="s">
        <v>27</v>
      </c>
      <c r="H259" s="221"/>
      <c r="I259" s="127"/>
      <c r="R259" s="119"/>
    </row>
    <row r="260" spans="1:18" x14ac:dyDescent="0.25">
      <c r="A260" s="181"/>
      <c r="B260" s="124" t="s">
        <v>237</v>
      </c>
      <c r="C260" s="126">
        <f>COUNTIFS('Analyses descriptives'!$C$20:$C$30,"&gt;=1",'Analyses descriptives'!$C$20:$C$30,"&lt;2")</f>
        <v>0</v>
      </c>
      <c r="D260" s="126"/>
      <c r="E260" s="130"/>
      <c r="F260" s="304"/>
      <c r="G260" s="125" t="s">
        <v>28</v>
      </c>
      <c r="H260" s="221"/>
      <c r="I260" s="127"/>
      <c r="R260" s="119"/>
    </row>
    <row r="261" spans="1:18" x14ac:dyDescent="0.25">
      <c r="A261" s="181"/>
      <c r="B261" s="124" t="s">
        <v>238</v>
      </c>
      <c r="C261" s="126">
        <f>COUNTIFS('Analyses descriptives'!$C$20:$C$30,"&gt;=2",'Analyses descriptives'!$C$20:$C$30,"&lt;3")</f>
        <v>1</v>
      </c>
      <c r="D261" s="126"/>
      <c r="E261" s="130"/>
      <c r="F261" s="304"/>
      <c r="G261" s="125" t="s">
        <v>29</v>
      </c>
      <c r="H261" s="221"/>
      <c r="I261" s="127"/>
      <c r="K261" t="s">
        <v>183</v>
      </c>
      <c r="R261" s="119"/>
    </row>
    <row r="262" spans="1:18" x14ac:dyDescent="0.25">
      <c r="A262" s="181"/>
      <c r="B262" s="124" t="s">
        <v>239</v>
      </c>
      <c r="C262" s="126">
        <f>COUNTIFS('Analyses descriptives'!$C$20:$C$30,"&gt;=3",'Analyses descriptives'!$C$20:$C$30,"&lt;4")</f>
        <v>3</v>
      </c>
      <c r="D262" s="126"/>
      <c r="E262" s="130"/>
      <c r="F262" s="131"/>
      <c r="G262" s="125" t="s">
        <v>154</v>
      </c>
      <c r="H262" s="221"/>
      <c r="I262" s="127"/>
      <c r="K262" t="s">
        <v>242</v>
      </c>
      <c r="R262" s="119"/>
    </row>
    <row r="263" spans="1:18" x14ac:dyDescent="0.25">
      <c r="A263" s="181"/>
      <c r="B263" s="124" t="s">
        <v>240</v>
      </c>
      <c r="C263" s="126">
        <f>COUNTIFS('Analyses descriptives'!$C$20:$C$30,"&gt;=4",'Analyses descriptives'!$C$20:$C$30,"&lt;5")</f>
        <v>5</v>
      </c>
      <c r="D263" s="126"/>
      <c r="E263" s="130"/>
      <c r="F263" s="131"/>
      <c r="G263" s="125" t="s">
        <v>155</v>
      </c>
      <c r="H263" s="221"/>
      <c r="I263" s="127"/>
      <c r="R263" s="119"/>
    </row>
    <row r="264" spans="1:18" x14ac:dyDescent="0.25">
      <c r="A264" s="181"/>
      <c r="B264" s="124" t="s">
        <v>241</v>
      </c>
      <c r="C264" s="126">
        <f>COUNTIFS('Analyses descriptives'!$C$20:$C$30,"&gt;=5",'Analyses descriptives'!$C$20:$C$30,"&lt;6")</f>
        <v>1</v>
      </c>
      <c r="D264" s="126"/>
      <c r="E264" s="130"/>
      <c r="F264" s="131"/>
      <c r="G264" s="125" t="s">
        <v>156</v>
      </c>
      <c r="H264" s="230"/>
      <c r="I264" s="127"/>
      <c r="R264" s="119"/>
    </row>
    <row r="265" spans="1:18" x14ac:dyDescent="0.25">
      <c r="A265" s="181"/>
      <c r="B265" s="124" t="s">
        <v>185</v>
      </c>
      <c r="C265" s="126">
        <f>COUNTIF('Analyses descriptives'!$C$20:$C$30,"&gt;=6")</f>
        <v>0</v>
      </c>
      <c r="D265" s="126"/>
      <c r="E265" s="130"/>
      <c r="F265" s="125"/>
      <c r="G265" s="125"/>
      <c r="H265" s="229"/>
      <c r="I265" s="127"/>
      <c r="R265" s="119"/>
    </row>
    <row r="266" spans="1:18" ht="15" customHeight="1" x14ac:dyDescent="0.25">
      <c r="A266" s="181"/>
      <c r="B266" s="124"/>
      <c r="C266" s="126"/>
      <c r="D266" s="130"/>
      <c r="E266" s="130"/>
      <c r="F266" s="304" t="s">
        <v>157</v>
      </c>
      <c r="G266" s="125" t="s">
        <v>158</v>
      </c>
      <c r="H266" s="229"/>
      <c r="I266" s="127"/>
      <c r="R266" s="119"/>
    </row>
    <row r="267" spans="1:18" x14ac:dyDescent="0.25">
      <c r="A267" s="181"/>
      <c r="B267" s="124" t="s">
        <v>159</v>
      </c>
      <c r="C267" s="126">
        <f>IF(ISBLANK(C259),"",SUM(C259:C265))</f>
        <v>10</v>
      </c>
      <c r="D267" s="126"/>
      <c r="E267" s="126"/>
      <c r="F267" s="304"/>
      <c r="G267" s="125" t="s">
        <v>160</v>
      </c>
      <c r="H267" s="221"/>
      <c r="I267" s="127"/>
      <c r="R267" s="119"/>
    </row>
    <row r="268" spans="1:18" x14ac:dyDescent="0.25">
      <c r="A268" s="181"/>
      <c r="B268" s="124"/>
      <c r="C268" s="126"/>
      <c r="D268" s="126"/>
      <c r="E268" s="126"/>
      <c r="F268" s="304"/>
      <c r="G268" s="125" t="s">
        <v>45</v>
      </c>
      <c r="H268" s="230"/>
      <c r="I268" s="127"/>
      <c r="R268" s="119"/>
    </row>
    <row r="269" spans="1:18" x14ac:dyDescent="0.25">
      <c r="A269" s="181"/>
      <c r="B269" s="132" t="s">
        <v>161</v>
      </c>
      <c r="C269" s="133" t="str">
        <f>IF(ISBLANK(H264),"",IF(H264=C267,"","Check"))</f>
        <v/>
      </c>
      <c r="D269" s="126"/>
      <c r="E269" s="126"/>
      <c r="F269" s="304"/>
      <c r="G269" s="125" t="s">
        <v>162</v>
      </c>
      <c r="H269" s="221"/>
      <c r="I269" s="127"/>
      <c r="K269" s="134" t="str">
        <f>IF(H269="","",H269*100)</f>
        <v/>
      </c>
      <c r="L269" t="s">
        <v>163</v>
      </c>
      <c r="R269" s="119"/>
    </row>
    <row r="270" spans="1:18" ht="15" customHeight="1" x14ac:dyDescent="0.25">
      <c r="A270" s="181"/>
      <c r="B270" s="302" t="s">
        <v>275</v>
      </c>
      <c r="C270" s="303"/>
      <c r="D270" s="126"/>
      <c r="E270" s="126"/>
      <c r="F270" s="125"/>
      <c r="G270" s="125"/>
      <c r="H270" s="229"/>
      <c r="I270" s="127"/>
      <c r="K270" t="str">
        <f>IF(K269&gt;50,"vos données ne sont pas très homogènes car plus de la moitié de votre moyenne est expliquée par l'écart-type","")</f>
        <v>vos données ne sont pas très homogènes car plus de la moitié de votre moyenne est expliquée par l'écart-type</v>
      </c>
      <c r="R270" s="119"/>
    </row>
    <row r="271" spans="1:18" ht="15" customHeight="1" x14ac:dyDescent="0.25">
      <c r="A271" s="181"/>
      <c r="B271" s="302"/>
      <c r="C271" s="303"/>
      <c r="D271" s="126"/>
      <c r="E271" s="126"/>
      <c r="F271" s="304" t="s">
        <v>165</v>
      </c>
      <c r="G271" s="125" t="s">
        <v>166</v>
      </c>
      <c r="H271" s="231"/>
      <c r="I271" s="127"/>
      <c r="R271" s="119"/>
    </row>
    <row r="272" spans="1:18" x14ac:dyDescent="0.25">
      <c r="A272" s="181"/>
      <c r="B272" s="302"/>
      <c r="C272" s="303"/>
      <c r="D272" s="126"/>
      <c r="E272" s="126"/>
      <c r="F272" s="304"/>
      <c r="G272" s="125" t="s">
        <v>167</v>
      </c>
      <c r="H272" s="231"/>
      <c r="I272" s="127"/>
      <c r="K272" t="str">
        <f>IF(H272&gt;1, "Un coefficient positif indique une distribution décalée à gauche de la médiane, et donc une queue de distribution étalée vers la droite.",IF(H272&lt;-1,"Un coefficient négatif indique une distribution décalée à droite de la médiane, et donc une queue de distribution étalée vers la gauche.","Un coefficient proche de 0 indique une distribution symétrique avec la moyenne équivalente à la médiane."))</f>
        <v>Un coefficient proche de 0 indique une distribution symétrique avec la moyenne équivalente à la médiane.</v>
      </c>
      <c r="R272" s="119"/>
    </row>
    <row r="273" spans="1:19" x14ac:dyDescent="0.25">
      <c r="A273" s="181"/>
      <c r="B273" s="302"/>
      <c r="C273" s="303"/>
      <c r="D273" s="126"/>
      <c r="E273" s="126"/>
      <c r="F273" s="304"/>
      <c r="G273" s="125" t="s">
        <v>168</v>
      </c>
      <c r="H273" s="231"/>
      <c r="I273" s="127"/>
      <c r="K273" t="s">
        <v>169</v>
      </c>
      <c r="Q273" s="135" t="str">
        <f>IF(ISBLANK(H259),"",H259-(H273*1.96))</f>
        <v/>
      </c>
      <c r="R273" s="136" t="s">
        <v>170</v>
      </c>
      <c r="S273" s="135" t="str">
        <f>IF(ISBLANK(H259),"",H259+(H273*1.96))</f>
        <v/>
      </c>
    </row>
    <row r="274" spans="1:19" x14ac:dyDescent="0.25">
      <c r="A274" s="181"/>
      <c r="B274" s="302"/>
      <c r="C274" s="303"/>
      <c r="D274" s="126"/>
      <c r="E274" s="126"/>
      <c r="F274" s="304"/>
      <c r="G274" s="125"/>
      <c r="H274" s="229"/>
      <c r="I274" s="127"/>
      <c r="R274" s="119"/>
    </row>
    <row r="275" spans="1:19" ht="15" customHeight="1" x14ac:dyDescent="0.25">
      <c r="A275" s="181"/>
      <c r="B275" s="137"/>
      <c r="C275" s="138"/>
      <c r="D275" s="126"/>
      <c r="E275" s="126"/>
      <c r="F275" s="304" t="s">
        <v>171</v>
      </c>
      <c r="G275" s="125" t="s">
        <v>172</v>
      </c>
      <c r="H275" s="229"/>
      <c r="I275" s="127"/>
      <c r="R275" s="119"/>
    </row>
    <row r="276" spans="1:19" x14ac:dyDescent="0.25">
      <c r="A276" s="181"/>
      <c r="B276" s="137"/>
      <c r="C276" s="138"/>
      <c r="D276" s="126"/>
      <c r="E276" s="126"/>
      <c r="F276" s="304"/>
      <c r="G276" s="125" t="s">
        <v>173</v>
      </c>
      <c r="H276" s="229"/>
      <c r="I276" s="127"/>
      <c r="R276" s="119"/>
    </row>
    <row r="277" spans="1:19" x14ac:dyDescent="0.25">
      <c r="A277" s="181"/>
      <c r="B277" s="128"/>
      <c r="C277" s="126"/>
      <c r="D277" s="126"/>
      <c r="E277" s="126"/>
      <c r="F277" s="304"/>
      <c r="G277" s="125" t="s">
        <v>174</v>
      </c>
      <c r="H277" s="229"/>
      <c r="I277" s="127"/>
      <c r="R277" s="119"/>
    </row>
    <row r="278" spans="1:19" x14ac:dyDescent="0.25">
      <c r="A278" s="181"/>
      <c r="B278" s="128"/>
      <c r="C278" s="126"/>
      <c r="D278" s="126"/>
      <c r="E278" s="126"/>
      <c r="F278" s="304"/>
      <c r="G278" s="125" t="s">
        <v>175</v>
      </c>
      <c r="H278" s="229"/>
      <c r="I278" s="127"/>
      <c r="R278" s="119"/>
    </row>
    <row r="279" spans="1:19" x14ac:dyDescent="0.25">
      <c r="A279" s="181"/>
      <c r="B279" s="128"/>
      <c r="C279" s="126"/>
      <c r="D279" s="126"/>
      <c r="E279" s="126"/>
      <c r="F279" s="125"/>
      <c r="G279" s="125"/>
      <c r="H279" s="229"/>
      <c r="I279" s="127"/>
      <c r="R279" s="119"/>
    </row>
    <row r="280" spans="1:19" ht="15" customHeight="1" x14ac:dyDescent="0.25">
      <c r="A280" s="181"/>
      <c r="B280" s="128"/>
      <c r="C280" s="126"/>
      <c r="D280" s="126"/>
      <c r="E280" s="126"/>
      <c r="F280" s="304" t="s">
        <v>176</v>
      </c>
      <c r="G280" s="125" t="s">
        <v>177</v>
      </c>
      <c r="H280" s="221"/>
      <c r="I280" s="127"/>
      <c r="R280" s="119"/>
    </row>
    <row r="281" spans="1:19" x14ac:dyDescent="0.25">
      <c r="A281" s="181"/>
      <c r="B281" s="128"/>
      <c r="C281" s="126"/>
      <c r="D281" s="126"/>
      <c r="E281" s="126"/>
      <c r="F281" s="304"/>
      <c r="G281" s="125" t="s">
        <v>178</v>
      </c>
      <c r="H281" s="229"/>
      <c r="I281" s="127"/>
      <c r="K281" t="str">
        <f>IF(OR(ISBLANK(H267),H281=0),"","Au niveau de la distribution, il existe" )</f>
        <v/>
      </c>
      <c r="L281" t="str">
        <f>IF(H281=0,"",H281)</f>
        <v/>
      </c>
      <c r="M281" t="str">
        <f>IF(OR(ISBLANK(H267),H281=0),"","valeurs extrêmes à gauche. Vous devez considérer ce fait lors de vos analyses statistiques car cela peut introduire des biais ou diminuer la significativité de certains tests" )</f>
        <v/>
      </c>
      <c r="R281" s="119"/>
    </row>
    <row r="282" spans="1:19" x14ac:dyDescent="0.25">
      <c r="A282" s="181"/>
      <c r="B282" s="128"/>
      <c r="C282" s="126"/>
      <c r="D282" s="126"/>
      <c r="E282" s="126"/>
      <c r="F282" s="304"/>
      <c r="G282" s="125" t="s">
        <v>179</v>
      </c>
      <c r="H282" s="221"/>
      <c r="I282" s="127"/>
      <c r="R282" s="119"/>
    </row>
    <row r="283" spans="1:19" x14ac:dyDescent="0.25">
      <c r="A283" s="181"/>
      <c r="B283" s="128"/>
      <c r="C283" s="126"/>
      <c r="D283" s="126"/>
      <c r="E283" s="126"/>
      <c r="F283" s="304"/>
      <c r="G283" s="125" t="s">
        <v>180</v>
      </c>
      <c r="H283" s="229"/>
      <c r="I283" s="127"/>
      <c r="K283" t="str">
        <f>IF(OR(ISBLANK(H267),H283=0),"","Au niveau de la distribution, il existe" )</f>
        <v/>
      </c>
      <c r="L283" t="str">
        <f>IF(H283=0,"",H283)</f>
        <v/>
      </c>
      <c r="M283" t="str">
        <f>IF(OR(ISBLANK(H267),H283=0),"","valeurs extrêmes à droite. Vous devez considérer ce fait lors de vos analyses statistiques car cela peut introduire des biais ou diminuer la significativité de certains tests" )</f>
        <v/>
      </c>
      <c r="R283" s="119"/>
    </row>
    <row r="284" spans="1:19" ht="15.75" thickBot="1" x14ac:dyDescent="0.3">
      <c r="A284" s="181"/>
      <c r="B284" s="139"/>
      <c r="C284" s="140"/>
      <c r="D284" s="140"/>
      <c r="E284" s="140"/>
      <c r="F284" s="141"/>
      <c r="G284" s="141"/>
      <c r="H284" s="232"/>
      <c r="I284" s="142"/>
      <c r="R284" s="119"/>
    </row>
    <row r="285" spans="1:19" x14ac:dyDescent="0.25">
      <c r="A285" s="181"/>
      <c r="R285" s="119"/>
    </row>
    <row r="286" spans="1:19" x14ac:dyDescent="0.25">
      <c r="A286" s="181"/>
    </row>
    <row r="287" spans="1:19" ht="15.75" thickBot="1" x14ac:dyDescent="0.3">
      <c r="A287" s="181"/>
    </row>
    <row r="288" spans="1:19" ht="15.75" thickBot="1" x14ac:dyDescent="0.3">
      <c r="A288" s="181"/>
      <c r="B288" s="116" t="str">
        <f>DATA!P4</f>
        <v xml:space="preserve">Score d'attention sélective (U) </v>
      </c>
      <c r="C288" s="117"/>
      <c r="D288" s="117"/>
      <c r="E288" s="117"/>
      <c r="F288" s="117"/>
      <c r="G288" s="117"/>
      <c r="H288" s="227"/>
      <c r="I288" s="118"/>
      <c r="R288" s="119"/>
    </row>
    <row r="289" spans="1:18" x14ac:dyDescent="0.25">
      <c r="A289" s="181"/>
      <c r="B289" s="120"/>
      <c r="C289" s="121"/>
      <c r="D289" s="121"/>
      <c r="E289" s="121"/>
      <c r="F289" s="122"/>
      <c r="G289" s="122"/>
      <c r="H289" s="228"/>
      <c r="I289" s="123"/>
      <c r="R289" s="119"/>
    </row>
    <row r="290" spans="1:18" x14ac:dyDescent="0.25">
      <c r="A290" s="181"/>
      <c r="B290" s="124" t="s">
        <v>150</v>
      </c>
      <c r="C290" s="280" t="s">
        <v>151</v>
      </c>
      <c r="D290" s="280"/>
      <c r="E290" s="280"/>
      <c r="F290" s="125"/>
      <c r="G290" s="125"/>
      <c r="H290" s="229"/>
      <c r="I290" s="127"/>
      <c r="R290" s="119"/>
    </row>
    <row r="291" spans="1:18" x14ac:dyDescent="0.25">
      <c r="A291" s="181"/>
      <c r="B291" s="128"/>
      <c r="C291" s="126"/>
      <c r="D291" s="126"/>
      <c r="E291" s="126"/>
      <c r="F291" s="125"/>
      <c r="G291" s="125" t="s">
        <v>152</v>
      </c>
      <c r="H291" s="229"/>
      <c r="I291" s="127"/>
      <c r="R291" s="119"/>
    </row>
    <row r="292" spans="1:18" x14ac:dyDescent="0.25">
      <c r="A292" s="181"/>
      <c r="B292" s="124" t="s">
        <v>184</v>
      </c>
      <c r="C292" s="129"/>
      <c r="D292" s="126"/>
      <c r="E292" s="130"/>
      <c r="F292" s="125"/>
      <c r="G292" s="125"/>
      <c r="H292" s="229"/>
      <c r="I292" s="127"/>
      <c r="R292" s="119"/>
    </row>
    <row r="293" spans="1:18" ht="15" customHeight="1" x14ac:dyDescent="0.25">
      <c r="A293" s="181"/>
      <c r="B293" s="124" t="s">
        <v>186</v>
      </c>
      <c r="C293" s="126">
        <f>COUNTIF('Analyses descriptives'!$D$20:$D$30,"&lt;10")</f>
        <v>0</v>
      </c>
      <c r="D293" s="126"/>
      <c r="E293" s="130"/>
      <c r="F293" s="304" t="s">
        <v>153</v>
      </c>
      <c r="G293" s="125" t="s">
        <v>27</v>
      </c>
      <c r="H293" s="221"/>
      <c r="I293" s="127"/>
      <c r="R293" s="119"/>
    </row>
    <row r="294" spans="1:18" x14ac:dyDescent="0.25">
      <c r="A294" s="181"/>
      <c r="B294" s="124" t="s">
        <v>187</v>
      </c>
      <c r="C294" s="126">
        <f>COUNTIFS('Analyses descriptives'!$D$20:$D$30,"&gt;=10",'Analyses descriptives'!$D$20:$D$30,"&lt;20")</f>
        <v>2</v>
      </c>
      <c r="D294" s="126"/>
      <c r="E294" s="130"/>
      <c r="F294" s="304"/>
      <c r="G294" s="125" t="s">
        <v>28</v>
      </c>
      <c r="H294" s="221"/>
      <c r="I294" s="127"/>
      <c r="R294" s="119"/>
    </row>
    <row r="295" spans="1:18" x14ac:dyDescent="0.25">
      <c r="A295" s="181"/>
      <c r="B295" s="124" t="s">
        <v>188</v>
      </c>
      <c r="C295" s="126">
        <f>COUNTIFS('Analyses descriptives'!$D$20:$D$30,"&gt;=20",'Analyses descriptives'!$D$20:$D$30,"&lt;30")</f>
        <v>6</v>
      </c>
      <c r="D295" s="126"/>
      <c r="E295" s="130"/>
      <c r="F295" s="304"/>
      <c r="G295" s="125" t="s">
        <v>29</v>
      </c>
      <c r="H295" s="221"/>
      <c r="I295" s="127"/>
      <c r="K295" t="s">
        <v>183</v>
      </c>
      <c r="R295" s="119"/>
    </row>
    <row r="296" spans="1:18" x14ac:dyDescent="0.25">
      <c r="A296" s="181"/>
      <c r="B296" s="124" t="s">
        <v>189</v>
      </c>
      <c r="C296" s="126">
        <f>COUNTIFS('Analyses descriptives'!$D$20:$D$30,"&gt;=30",'Analyses descriptives'!$D$20:$D$30,"&lt;40")</f>
        <v>1</v>
      </c>
      <c r="D296" s="126"/>
      <c r="E296" s="130"/>
      <c r="F296" s="131"/>
      <c r="G296" s="125" t="s">
        <v>154</v>
      </c>
      <c r="H296" s="221"/>
      <c r="I296" s="127"/>
      <c r="K296" t="s">
        <v>242</v>
      </c>
      <c r="R296" s="119"/>
    </row>
    <row r="297" spans="1:18" x14ac:dyDescent="0.25">
      <c r="A297" s="181"/>
      <c r="B297" s="124" t="s">
        <v>190</v>
      </c>
      <c r="C297" s="126">
        <f>COUNTIFS('Analyses descriptives'!$D$20:$D$30,"&gt;=40",'Analyses descriptives'!$D$20:$D$30,"&lt;50")</f>
        <v>1</v>
      </c>
      <c r="D297" s="126"/>
      <c r="E297" s="130"/>
      <c r="F297" s="131"/>
      <c r="G297" s="125" t="s">
        <v>155</v>
      </c>
      <c r="H297" s="221"/>
      <c r="I297" s="127"/>
      <c r="R297" s="119"/>
    </row>
    <row r="298" spans="1:18" x14ac:dyDescent="0.25">
      <c r="A298" s="181"/>
      <c r="B298" s="124" t="s">
        <v>191</v>
      </c>
      <c r="C298" s="126">
        <f>COUNTIFS('Analyses descriptives'!$D$20:$D$30,"&gt;=50",'Analyses descriptives'!$D$20:$D$30,"&lt;60")</f>
        <v>0</v>
      </c>
      <c r="D298" s="126"/>
      <c r="E298" s="130"/>
      <c r="F298" s="131"/>
      <c r="G298" s="125" t="s">
        <v>156</v>
      </c>
      <c r="H298" s="230"/>
      <c r="I298" s="127"/>
      <c r="R298" s="119"/>
    </row>
    <row r="299" spans="1:18" x14ac:dyDescent="0.25">
      <c r="A299" s="181"/>
      <c r="B299" s="124" t="s">
        <v>192</v>
      </c>
      <c r="C299" s="126">
        <f>COUNTIF('Analyses descriptives'!$D$20:$D$30,"&gt;=60")</f>
        <v>0</v>
      </c>
      <c r="D299" s="126"/>
      <c r="E299" s="130"/>
      <c r="F299" s="125"/>
      <c r="G299" s="125"/>
      <c r="H299" s="229"/>
      <c r="I299" s="127"/>
      <c r="R299" s="119"/>
    </row>
    <row r="300" spans="1:18" ht="15" customHeight="1" x14ac:dyDescent="0.25">
      <c r="A300" s="181"/>
      <c r="B300" s="124"/>
      <c r="C300" s="126"/>
      <c r="D300" s="130"/>
      <c r="E300" s="130"/>
      <c r="F300" s="304" t="s">
        <v>157</v>
      </c>
      <c r="G300" s="125" t="s">
        <v>158</v>
      </c>
      <c r="H300" s="229"/>
      <c r="I300" s="127"/>
      <c r="R300" s="119"/>
    </row>
    <row r="301" spans="1:18" x14ac:dyDescent="0.25">
      <c r="A301" s="181"/>
      <c r="B301" s="124" t="s">
        <v>159</v>
      </c>
      <c r="C301" s="126">
        <f>IF(ISBLANK(C293),"",SUM(C293:C299))</f>
        <v>10</v>
      </c>
      <c r="D301" s="126"/>
      <c r="E301" s="126"/>
      <c r="F301" s="304"/>
      <c r="G301" s="125" t="s">
        <v>160</v>
      </c>
      <c r="H301" s="221"/>
      <c r="I301" s="127"/>
      <c r="R301" s="119"/>
    </row>
    <row r="302" spans="1:18" x14ac:dyDescent="0.25">
      <c r="A302" s="181"/>
      <c r="B302" s="124"/>
      <c r="C302" s="126"/>
      <c r="D302" s="126"/>
      <c r="E302" s="126"/>
      <c r="F302" s="304"/>
      <c r="G302" s="125" t="s">
        <v>45</v>
      </c>
      <c r="H302" s="230"/>
      <c r="I302" s="127"/>
      <c r="R302" s="119"/>
    </row>
    <row r="303" spans="1:18" x14ac:dyDescent="0.25">
      <c r="A303" s="181"/>
      <c r="B303" s="132" t="s">
        <v>161</v>
      </c>
      <c r="C303" s="133" t="str">
        <f>IF(ISBLANK(H298),"",IF(H298=C301,"","Check"))</f>
        <v/>
      </c>
      <c r="D303" s="126"/>
      <c r="E303" s="126"/>
      <c r="F303" s="304"/>
      <c r="G303" s="125" t="s">
        <v>162</v>
      </c>
      <c r="H303" s="221"/>
      <c r="I303" s="127"/>
      <c r="K303" s="134" t="str">
        <f>IF(H303="","",H303*100)</f>
        <v/>
      </c>
      <c r="L303" t="s">
        <v>163</v>
      </c>
      <c r="R303" s="119"/>
    </row>
    <row r="304" spans="1:18" ht="15" customHeight="1" x14ac:dyDescent="0.25">
      <c r="A304" s="181"/>
      <c r="B304" s="302" t="s">
        <v>275</v>
      </c>
      <c r="C304" s="303"/>
      <c r="D304" s="126"/>
      <c r="E304" s="126"/>
      <c r="F304" s="125"/>
      <c r="G304" s="125"/>
      <c r="H304" s="229"/>
      <c r="I304" s="127"/>
      <c r="K304" t="str">
        <f>IF(K303&gt;50,"vos données ne sont pas très homogènes car plus de la moitié de votre moyenne est expliquée par l'écart-type","")</f>
        <v>vos données ne sont pas très homogènes car plus de la moitié de votre moyenne est expliquée par l'écart-type</v>
      </c>
      <c r="R304" s="119"/>
    </row>
    <row r="305" spans="1:19" ht="15" customHeight="1" x14ac:dyDescent="0.25">
      <c r="A305" s="181"/>
      <c r="B305" s="302"/>
      <c r="C305" s="303"/>
      <c r="D305" s="126"/>
      <c r="E305" s="126"/>
      <c r="F305" s="304" t="s">
        <v>165</v>
      </c>
      <c r="G305" s="125" t="s">
        <v>166</v>
      </c>
      <c r="H305" s="231"/>
      <c r="I305" s="127"/>
      <c r="R305" s="119"/>
    </row>
    <row r="306" spans="1:19" x14ac:dyDescent="0.25">
      <c r="A306" s="181"/>
      <c r="B306" s="302"/>
      <c r="C306" s="303"/>
      <c r="D306" s="126"/>
      <c r="E306" s="126"/>
      <c r="F306" s="304"/>
      <c r="G306" s="125" t="s">
        <v>167</v>
      </c>
      <c r="H306" s="231"/>
      <c r="I306" s="127"/>
      <c r="K306" t="str">
        <f>IF(H306&gt;1, "Un coefficient positif indique une distribution décalée à gauche de la médiane, et donc une queue de distribution étalée vers la droite.",IF(H306&lt;-1,"Un coefficient négatif indique une distribution décalée à droite de la médiane, et donc une queue de distribution étalée vers la gauche.","Un coefficient proche de 0 indique une distribution symétrique avec la moyenne équivalente à la médiane."))</f>
        <v>Un coefficient proche de 0 indique une distribution symétrique avec la moyenne équivalente à la médiane.</v>
      </c>
      <c r="R306" s="119"/>
    </row>
    <row r="307" spans="1:19" x14ac:dyDescent="0.25">
      <c r="A307" s="181"/>
      <c r="B307" s="302"/>
      <c r="C307" s="303"/>
      <c r="D307" s="126"/>
      <c r="E307" s="126"/>
      <c r="F307" s="304"/>
      <c r="G307" s="125" t="s">
        <v>168</v>
      </c>
      <c r="H307" s="231"/>
      <c r="I307" s="127"/>
      <c r="K307" t="s">
        <v>169</v>
      </c>
      <c r="Q307" s="135" t="str">
        <f>IF(ISBLANK(H293),"",H293-(H307*1.96))</f>
        <v/>
      </c>
      <c r="R307" s="136" t="s">
        <v>170</v>
      </c>
      <c r="S307" s="135" t="str">
        <f>IF(ISBLANK(H293),"",H293+(H307*1.96))</f>
        <v/>
      </c>
    </row>
    <row r="308" spans="1:19" x14ac:dyDescent="0.25">
      <c r="A308" s="181"/>
      <c r="B308" s="302"/>
      <c r="C308" s="303"/>
      <c r="D308" s="126"/>
      <c r="E308" s="126"/>
      <c r="F308" s="304"/>
      <c r="G308" s="125"/>
      <c r="H308" s="229"/>
      <c r="I308" s="127"/>
      <c r="R308" s="119"/>
    </row>
    <row r="309" spans="1:19" ht="15" customHeight="1" x14ac:dyDescent="0.25">
      <c r="A309" s="181"/>
      <c r="B309" s="137"/>
      <c r="C309" s="138"/>
      <c r="D309" s="126"/>
      <c r="E309" s="126"/>
      <c r="F309" s="304" t="s">
        <v>171</v>
      </c>
      <c r="G309" s="125" t="s">
        <v>172</v>
      </c>
      <c r="H309" s="229"/>
      <c r="I309" s="127"/>
      <c r="R309" s="119"/>
    </row>
    <row r="310" spans="1:19" x14ac:dyDescent="0.25">
      <c r="A310" s="181"/>
      <c r="B310" s="137"/>
      <c r="C310" s="138"/>
      <c r="D310" s="126"/>
      <c r="E310" s="126"/>
      <c r="F310" s="304"/>
      <c r="G310" s="125" t="s">
        <v>173</v>
      </c>
      <c r="H310" s="229"/>
      <c r="I310" s="127"/>
      <c r="R310" s="119"/>
    </row>
    <row r="311" spans="1:19" x14ac:dyDescent="0.25">
      <c r="A311" s="181"/>
      <c r="B311" s="128"/>
      <c r="C311" s="126"/>
      <c r="D311" s="126"/>
      <c r="E311" s="126"/>
      <c r="F311" s="304"/>
      <c r="G311" s="125" t="s">
        <v>174</v>
      </c>
      <c r="H311" s="229"/>
      <c r="I311" s="127"/>
      <c r="R311" s="119"/>
    </row>
    <row r="312" spans="1:19" x14ac:dyDescent="0.25">
      <c r="A312" s="181"/>
      <c r="B312" s="128"/>
      <c r="C312" s="126"/>
      <c r="D312" s="126"/>
      <c r="E312" s="126"/>
      <c r="F312" s="304"/>
      <c r="G312" s="125" t="s">
        <v>175</v>
      </c>
      <c r="H312" s="229"/>
      <c r="I312" s="127"/>
      <c r="R312" s="119"/>
    </row>
    <row r="313" spans="1:19" x14ac:dyDescent="0.25">
      <c r="A313" s="181"/>
      <c r="B313" s="128"/>
      <c r="C313" s="126"/>
      <c r="D313" s="126"/>
      <c r="E313" s="126"/>
      <c r="F313" s="125"/>
      <c r="G313" s="125"/>
      <c r="H313" s="229"/>
      <c r="I313" s="127"/>
      <c r="R313" s="119"/>
    </row>
    <row r="314" spans="1:19" ht="15" customHeight="1" x14ac:dyDescent="0.25">
      <c r="A314" s="181"/>
      <c r="B314" s="128"/>
      <c r="C314" s="126"/>
      <c r="D314" s="126"/>
      <c r="E314" s="126"/>
      <c r="F314" s="304" t="s">
        <v>176</v>
      </c>
      <c r="G314" s="125" t="s">
        <v>177</v>
      </c>
      <c r="H314" s="221"/>
      <c r="I314" s="127"/>
      <c r="R314" s="119"/>
    </row>
    <row r="315" spans="1:19" x14ac:dyDescent="0.25">
      <c r="A315" s="181"/>
      <c r="B315" s="128"/>
      <c r="C315" s="126"/>
      <c r="D315" s="126"/>
      <c r="E315" s="126"/>
      <c r="F315" s="304"/>
      <c r="G315" s="125" t="s">
        <v>178</v>
      </c>
      <c r="H315" s="229"/>
      <c r="I315" s="127"/>
      <c r="K315" t="str">
        <f>IF(OR(ISBLANK(H301),H315=0),"","Au niveau de la distribution, il existe" )</f>
        <v/>
      </c>
      <c r="L315" t="str">
        <f>IF(H315=0,"",H315)</f>
        <v/>
      </c>
      <c r="M315" t="str">
        <f>IF(OR(ISBLANK(H301),H315=0),"","valeurs extrêmes à gauche. Vous devez considérer ce fait lors de vos analyses statistiques car cela peut introduire des biais ou diminuer la significativité de certains tests" )</f>
        <v/>
      </c>
      <c r="R315" s="119"/>
    </row>
    <row r="316" spans="1:19" x14ac:dyDescent="0.25">
      <c r="A316" s="181"/>
      <c r="B316" s="128"/>
      <c r="C316" s="126"/>
      <c r="D316" s="126"/>
      <c r="E316" s="126"/>
      <c r="F316" s="304"/>
      <c r="G316" s="125" t="s">
        <v>179</v>
      </c>
      <c r="H316" s="221"/>
      <c r="I316" s="127"/>
      <c r="R316" s="119"/>
    </row>
    <row r="317" spans="1:19" x14ac:dyDescent="0.25">
      <c r="A317" s="181"/>
      <c r="B317" s="128"/>
      <c r="C317" s="126"/>
      <c r="D317" s="126"/>
      <c r="E317" s="126"/>
      <c r="F317" s="304"/>
      <c r="G317" s="125" t="s">
        <v>180</v>
      </c>
      <c r="H317" s="229"/>
      <c r="I317" s="127"/>
      <c r="K317" t="str">
        <f>IF(OR(ISBLANK(H301),H317=0),"","Au niveau de la distribution, il existe" )</f>
        <v/>
      </c>
      <c r="L317" t="str">
        <f>IF(H317=0,"",H317)</f>
        <v/>
      </c>
      <c r="M317" t="str">
        <f>IF(OR(ISBLANK(H301),H317=0),"","valeurs extrêmes à droite. Vous devez considérer ce fait lors de vos analyses statistiques car cela peut introduire des biais ou diminuer la significativité de certains tests" )</f>
        <v/>
      </c>
      <c r="R317" s="119"/>
    </row>
    <row r="318" spans="1:19" ht="15.75" thickBot="1" x14ac:dyDescent="0.3">
      <c r="A318" s="181"/>
      <c r="B318" s="139"/>
      <c r="C318" s="140"/>
      <c r="D318" s="140"/>
      <c r="E318" s="140"/>
      <c r="F318" s="141"/>
      <c r="G318" s="141"/>
      <c r="H318" s="232"/>
      <c r="I318" s="142"/>
      <c r="K318" t="s">
        <v>250</v>
      </c>
      <c r="R318" s="119"/>
    </row>
    <row r="325" spans="1:23" ht="21" customHeight="1" x14ac:dyDescent="0.35">
      <c r="A325" s="182" t="s">
        <v>208</v>
      </c>
      <c r="B325" s="169" t="s">
        <v>208</v>
      </c>
      <c r="C325" s="169"/>
      <c r="D325" s="169"/>
      <c r="E325" s="169"/>
      <c r="F325" s="169"/>
      <c r="G325" s="169"/>
      <c r="H325" s="240"/>
      <c r="I325" s="169"/>
      <c r="J325" s="169"/>
      <c r="K325" s="169"/>
      <c r="L325" s="169"/>
      <c r="M325" s="169"/>
      <c r="N325" s="169"/>
      <c r="O325" s="169"/>
      <c r="P325" s="169"/>
    </row>
    <row r="326" spans="1:23" ht="15.75" thickBot="1" x14ac:dyDescent="0.3">
      <c r="A326" s="182"/>
      <c r="W326" s="168" t="s">
        <v>195</v>
      </c>
    </row>
    <row r="327" spans="1:23" ht="15.75" thickBot="1" x14ac:dyDescent="0.3">
      <c r="A327" s="182"/>
      <c r="B327" s="242" t="s">
        <v>227</v>
      </c>
      <c r="C327" s="243"/>
      <c r="D327" s="243"/>
      <c r="E327" s="243"/>
      <c r="F327" s="243"/>
      <c r="G327" s="243"/>
      <c r="H327" s="244"/>
      <c r="I327" s="245"/>
      <c r="R327" s="119"/>
    </row>
    <row r="328" spans="1:23" x14ac:dyDescent="0.25">
      <c r="A328" s="182"/>
      <c r="B328" s="246"/>
      <c r="C328" s="247"/>
      <c r="D328" s="247"/>
      <c r="E328" s="247"/>
      <c r="F328" s="248"/>
      <c r="G328" s="248"/>
      <c r="H328" s="249"/>
      <c r="I328" s="250"/>
      <c r="R328" s="119"/>
    </row>
    <row r="329" spans="1:23" x14ac:dyDescent="0.25">
      <c r="A329" s="182"/>
      <c r="B329" s="251" t="s">
        <v>150</v>
      </c>
      <c r="C329" s="311" t="s">
        <v>151</v>
      </c>
      <c r="D329" s="311"/>
      <c r="E329" s="311"/>
      <c r="F329" s="252"/>
      <c r="G329" s="252"/>
      <c r="H329" s="253"/>
      <c r="I329" s="254"/>
      <c r="R329" s="119"/>
    </row>
    <row r="330" spans="1:23" x14ac:dyDescent="0.25">
      <c r="A330" s="182"/>
      <c r="B330" s="255"/>
      <c r="C330" s="256"/>
      <c r="D330" s="256"/>
      <c r="E330" s="256"/>
      <c r="F330" s="252"/>
      <c r="G330" s="252" t="s">
        <v>152</v>
      </c>
      <c r="H330" s="253"/>
      <c r="I330" s="254"/>
      <c r="R330" s="119"/>
    </row>
    <row r="331" spans="1:23" x14ac:dyDescent="0.25">
      <c r="A331" s="182"/>
      <c r="B331" s="251" t="s">
        <v>184</v>
      </c>
      <c r="C331" s="257"/>
      <c r="D331" s="256"/>
      <c r="E331" s="258"/>
      <c r="F331" s="252"/>
      <c r="G331" s="252"/>
      <c r="H331" s="253"/>
      <c r="I331" s="254"/>
      <c r="R331" s="119"/>
    </row>
    <row r="332" spans="1:23" x14ac:dyDescent="0.25">
      <c r="A332" s="182"/>
      <c r="B332" s="251" t="s">
        <v>268</v>
      </c>
      <c r="C332" s="256">
        <f>COUNTIF('Analyses descriptives'!$F$31:$F$41,"&lt;=85")</f>
        <v>0</v>
      </c>
      <c r="D332" s="256"/>
      <c r="E332" s="258"/>
      <c r="F332" s="310" t="s">
        <v>153</v>
      </c>
      <c r="G332" s="252" t="s">
        <v>27</v>
      </c>
      <c r="H332" s="259">
        <f>AVERAGE('Analyses descriptives'!$F$31:$F$41)</f>
        <v>91.5</v>
      </c>
      <c r="I332" s="270">
        <f>H332/12</f>
        <v>7.625</v>
      </c>
      <c r="R332" s="119"/>
    </row>
    <row r="333" spans="1:23" x14ac:dyDescent="0.25">
      <c r="A333" s="182"/>
      <c r="B333" s="251" t="s">
        <v>269</v>
      </c>
      <c r="C333" s="256">
        <f>COUNTIFS('Analyses descriptives'!$F$31:$F$41,"&gt;=86",'Analyses descriptives'!$F$31:$F$41,"&lt;=87")</f>
        <v>0</v>
      </c>
      <c r="D333" s="256"/>
      <c r="E333" s="258"/>
      <c r="F333" s="310"/>
      <c r="G333" s="252" t="s">
        <v>28</v>
      </c>
      <c r="H333" s="259">
        <f>MEDIAN('Analyses descriptives'!$F$31:$F$41)</f>
        <v>92</v>
      </c>
      <c r="I333" s="270">
        <f t="shared" ref="I333:I336" si="6">H333/12</f>
        <v>7.666666666666667</v>
      </c>
      <c r="R333" s="119"/>
    </row>
    <row r="334" spans="1:23" x14ac:dyDescent="0.25">
      <c r="A334" s="182"/>
      <c r="B334" s="251" t="s">
        <v>270</v>
      </c>
      <c r="C334" s="256">
        <f>COUNTIFS('Analyses descriptives'!$F$31:$F$41,"&gt;=88",'Analyses descriptives'!$F$31:$F$41,"&lt;=89")</f>
        <v>3</v>
      </c>
      <c r="D334" s="256"/>
      <c r="E334" s="258"/>
      <c r="F334" s="310"/>
      <c r="G334" s="252" t="s">
        <v>29</v>
      </c>
      <c r="H334" s="259">
        <f>MODE('Analyses descriptives'!$F$31:$F$41)</f>
        <v>92</v>
      </c>
      <c r="I334" s="270">
        <f t="shared" si="6"/>
        <v>7.666666666666667</v>
      </c>
      <c r="R334" s="119"/>
    </row>
    <row r="335" spans="1:23" x14ac:dyDescent="0.25">
      <c r="A335" s="182"/>
      <c r="B335" s="251" t="s">
        <v>271</v>
      </c>
      <c r="C335" s="256">
        <f>COUNTIFS('Analyses descriptives'!$F$31:$F$41,"&gt;=90",'Analyses descriptives'!$F$31:$F$41,"&lt;=91")</f>
        <v>1</v>
      </c>
      <c r="D335" s="256"/>
      <c r="E335" s="258"/>
      <c r="F335" s="260"/>
      <c r="G335" s="252" t="s">
        <v>154</v>
      </c>
      <c r="H335" s="259">
        <f>MIN('Analyses descriptives'!$F$31:$F$41)</f>
        <v>88</v>
      </c>
      <c r="I335" s="270">
        <f t="shared" si="6"/>
        <v>7.333333333333333</v>
      </c>
      <c r="R335" s="119"/>
    </row>
    <row r="336" spans="1:23" x14ac:dyDescent="0.25">
      <c r="A336" s="182"/>
      <c r="B336" s="251" t="s">
        <v>272</v>
      </c>
      <c r="C336" s="256">
        <f>COUNTIFS('Analyses descriptives'!$F$31:$F$41,"&gt;=92",'Analyses descriptives'!$F$31:$F$41,"&lt;=93")</f>
        <v>4</v>
      </c>
      <c r="D336" s="256"/>
      <c r="E336" s="258"/>
      <c r="F336" s="260"/>
      <c r="G336" s="252" t="s">
        <v>155</v>
      </c>
      <c r="H336" s="259">
        <f>MAX('Analyses descriptives'!$F$31:$F$41)</f>
        <v>96</v>
      </c>
      <c r="I336" s="270">
        <f t="shared" si="6"/>
        <v>8</v>
      </c>
      <c r="R336" s="119"/>
    </row>
    <row r="337" spans="1:19" x14ac:dyDescent="0.25">
      <c r="A337" s="182"/>
      <c r="B337" s="251" t="s">
        <v>273</v>
      </c>
      <c r="C337" s="256">
        <f>COUNTIF('Analyses descriptives'!$F$31:$F$41,"&gt;=94")</f>
        <v>2</v>
      </c>
      <c r="D337" s="256"/>
      <c r="E337" s="258"/>
      <c r="F337" s="260"/>
      <c r="G337" s="252" t="s">
        <v>156</v>
      </c>
      <c r="H337" s="261">
        <f>COUNT('Analyses descriptives'!$F$31:$F$41)</f>
        <v>10</v>
      </c>
      <c r="I337" s="254"/>
      <c r="R337" s="119"/>
    </row>
    <row r="338" spans="1:19" x14ac:dyDescent="0.25">
      <c r="A338" s="182"/>
      <c r="B338" s="251"/>
      <c r="C338" s="256"/>
      <c r="D338" s="256"/>
      <c r="E338" s="258"/>
      <c r="F338" s="252"/>
      <c r="G338" s="252"/>
      <c r="H338" s="253"/>
      <c r="I338" s="254"/>
      <c r="R338" s="119"/>
    </row>
    <row r="339" spans="1:19" x14ac:dyDescent="0.25">
      <c r="A339" s="182"/>
      <c r="B339" s="251"/>
      <c r="C339" s="256"/>
      <c r="D339" s="258"/>
      <c r="E339" s="258"/>
      <c r="F339" s="310" t="s">
        <v>157</v>
      </c>
      <c r="G339" s="252" t="s">
        <v>158</v>
      </c>
      <c r="H339" s="253">
        <f>IF(OR(ISBLANK(H335),ISBLANK(H336)),"",H336-H335)</f>
        <v>8</v>
      </c>
      <c r="I339" s="270">
        <f t="shared" ref="I339:I341" si="7">H339/12</f>
        <v>0.66666666666666663</v>
      </c>
      <c r="R339" s="119"/>
    </row>
    <row r="340" spans="1:19" x14ac:dyDescent="0.25">
      <c r="A340" s="182"/>
      <c r="B340" s="251" t="s">
        <v>159</v>
      </c>
      <c r="C340" s="256">
        <f>IF(ISBLANK(C332),"",SUM(C332:C338))</f>
        <v>10</v>
      </c>
      <c r="D340" s="256"/>
      <c r="E340" s="256"/>
      <c r="F340" s="310"/>
      <c r="G340" s="252" t="s">
        <v>160</v>
      </c>
      <c r="H340" s="259">
        <f>STDEV('Analyses descriptives'!$F$31:$F$41)</f>
        <v>2.7588242262078082</v>
      </c>
      <c r="I340" s="270">
        <f t="shared" si="7"/>
        <v>0.22990201885065067</v>
      </c>
      <c r="R340" s="119"/>
    </row>
    <row r="341" spans="1:19" x14ac:dyDescent="0.25">
      <c r="A341" s="182"/>
      <c r="B341" s="251"/>
      <c r="C341" s="256"/>
      <c r="D341" s="256"/>
      <c r="E341" s="256"/>
      <c r="F341" s="310"/>
      <c r="G341" s="252" t="s">
        <v>45</v>
      </c>
      <c r="H341" s="261">
        <f>IF(ISBLANK(H340),"",H340^2)</f>
        <v>7.6111111111111116</v>
      </c>
      <c r="I341" s="270">
        <f t="shared" si="7"/>
        <v>0.6342592592592593</v>
      </c>
      <c r="R341" s="119"/>
    </row>
    <row r="342" spans="1:19" x14ac:dyDescent="0.25">
      <c r="A342" s="182"/>
      <c r="B342" s="132" t="s">
        <v>161</v>
      </c>
      <c r="C342" s="133" t="str">
        <f>IF(ISBLANK(H337),"",IF(H337=C340,"","Check"))</f>
        <v/>
      </c>
      <c r="D342" s="256"/>
      <c r="E342" s="256"/>
      <c r="F342" s="310"/>
      <c r="G342" s="252" t="s">
        <v>162</v>
      </c>
      <c r="H342" s="259">
        <f>IF(OR(ISBLANK(H332),ISBLANK(H340)),"",H340/H332)</f>
        <v>3.0151084439429598E-2</v>
      </c>
      <c r="I342" s="254"/>
      <c r="K342" s="134">
        <f>IF(H342="","",H342*100)</f>
        <v>3.0151084439429598</v>
      </c>
      <c r="L342" t="s">
        <v>163</v>
      </c>
      <c r="R342" s="119"/>
    </row>
    <row r="343" spans="1:19" ht="15" customHeight="1" x14ac:dyDescent="0.25">
      <c r="A343" s="182"/>
      <c r="B343" s="302" t="s">
        <v>164</v>
      </c>
      <c r="C343" s="303"/>
      <c r="D343" s="256"/>
      <c r="E343" s="256"/>
      <c r="F343" s="252"/>
      <c r="G343" s="252"/>
      <c r="H343" s="253"/>
      <c r="I343" s="254"/>
      <c r="K343" t="str">
        <f>IF(K342&gt;50,"vos données ne sont pas très homogènes car plus de la moitié de votre moyenne est expliquée par l'écart-type","")</f>
        <v/>
      </c>
      <c r="R343" s="119"/>
    </row>
    <row r="344" spans="1:19" x14ac:dyDescent="0.25">
      <c r="A344" s="182"/>
      <c r="B344" s="302"/>
      <c r="C344" s="303"/>
      <c r="D344" s="256"/>
      <c r="E344" s="256"/>
      <c r="F344" s="310" t="s">
        <v>165</v>
      </c>
      <c r="G344" s="252" t="s">
        <v>166</v>
      </c>
      <c r="H344" s="262">
        <f>KURT('Analyses descriptives'!$F$31:$F$41)</f>
        <v>-0.91217280774529375</v>
      </c>
      <c r="I344" s="254"/>
      <c r="R344" s="119"/>
    </row>
    <row r="345" spans="1:19" x14ac:dyDescent="0.25">
      <c r="A345" s="182"/>
      <c r="B345" s="302"/>
      <c r="C345" s="303"/>
      <c r="D345" s="256"/>
      <c r="E345" s="256"/>
      <c r="F345" s="310"/>
      <c r="G345" s="252" t="s">
        <v>167</v>
      </c>
      <c r="H345" s="262">
        <f>SKEW('Analyses descriptives'!$F$31:$F$41)</f>
        <v>0.2182776906557938</v>
      </c>
      <c r="I345" s="254"/>
      <c r="K345" t="str">
        <f>IF(H345&gt;1, "Un coefficient positif indique une distribution décalée à gauche de la médiane, et donc une queue de distribution étalée vers la droite.",IF(H345&lt;-1,"Un coefficient négatif indique une distribution décalée à droite de la médiane, et donc une queue de distribution étalée vers la gauche.","Un coefficient proche de 0 indique une distribution symétrique avec la moyenne équivalente à la médiane."))</f>
        <v>Un coefficient proche de 0 indique une distribution symétrique avec la moyenne équivalente à la médiane.</v>
      </c>
      <c r="R345" s="119"/>
    </row>
    <row r="346" spans="1:19" x14ac:dyDescent="0.25">
      <c r="A346" s="182"/>
      <c r="B346" s="302"/>
      <c r="C346" s="303"/>
      <c r="D346" s="256"/>
      <c r="E346" s="256"/>
      <c r="F346" s="310"/>
      <c r="G346" s="252" t="s">
        <v>168</v>
      </c>
      <c r="H346" s="262">
        <f>IF(OR(ISBLANK(H337),ISBLANK(H340)),"",(H341/H337)^0.5)</f>
        <v>0.87241682188682679</v>
      </c>
      <c r="I346" s="254"/>
      <c r="K346" t="s">
        <v>169</v>
      </c>
      <c r="Q346" s="135">
        <f>IF(ISBLANK(H332),"",H332-(H346*1.96))</f>
        <v>89.790063029101816</v>
      </c>
      <c r="R346" s="136" t="s">
        <v>170</v>
      </c>
      <c r="S346" s="135">
        <f>IF(ISBLANK(H332),"",H332+(H346*1.96))</f>
        <v>93.209936970898184</v>
      </c>
    </row>
    <row r="347" spans="1:19" x14ac:dyDescent="0.25">
      <c r="A347" s="182"/>
      <c r="B347" s="302"/>
      <c r="C347" s="303"/>
      <c r="D347" s="256"/>
      <c r="E347" s="256"/>
      <c r="F347" s="310"/>
      <c r="G347" s="252"/>
      <c r="H347" s="253"/>
      <c r="I347" s="254"/>
      <c r="R347" s="119"/>
    </row>
    <row r="348" spans="1:19" x14ac:dyDescent="0.25">
      <c r="A348" s="182"/>
      <c r="B348" s="263"/>
      <c r="C348" s="264"/>
      <c r="D348" s="256"/>
      <c r="E348" s="256"/>
      <c r="F348" s="310" t="s">
        <v>171</v>
      </c>
      <c r="G348" s="252" t="s">
        <v>172</v>
      </c>
      <c r="H348" s="253">
        <f>QUARTILE('Analyses descriptives'!$F$31:$F$41,1)</f>
        <v>89.25</v>
      </c>
      <c r="I348" s="270">
        <f t="shared" ref="I348:I351" si="8">H348/12</f>
        <v>7.4375</v>
      </c>
      <c r="R348" s="119"/>
    </row>
    <row r="349" spans="1:19" x14ac:dyDescent="0.25">
      <c r="A349" s="182"/>
      <c r="B349" s="263"/>
      <c r="C349" s="264"/>
      <c r="D349" s="256"/>
      <c r="E349" s="256"/>
      <c r="F349" s="310"/>
      <c r="G349" s="252" t="s">
        <v>173</v>
      </c>
      <c r="H349" s="253">
        <f>QUARTILE('Analyses descriptives'!$F$31:$F$41,2)</f>
        <v>92</v>
      </c>
      <c r="I349" s="270">
        <f t="shared" si="8"/>
        <v>7.666666666666667</v>
      </c>
      <c r="R349" s="119"/>
    </row>
    <row r="350" spans="1:19" x14ac:dyDescent="0.25">
      <c r="A350" s="182"/>
      <c r="B350" s="255"/>
      <c r="C350" s="256"/>
      <c r="D350" s="256"/>
      <c r="E350" s="256"/>
      <c r="F350" s="310"/>
      <c r="G350" s="252" t="s">
        <v>174</v>
      </c>
      <c r="H350" s="253">
        <f>QUARTILE('Analyses descriptives'!$F$31:$F$41,3)</f>
        <v>92.75</v>
      </c>
      <c r="I350" s="270">
        <f t="shared" si="8"/>
        <v>7.729166666666667</v>
      </c>
      <c r="R350" s="119"/>
    </row>
    <row r="351" spans="1:19" x14ac:dyDescent="0.25">
      <c r="A351" s="182"/>
      <c r="B351" s="255"/>
      <c r="C351" s="256"/>
      <c r="D351" s="256"/>
      <c r="E351" s="256"/>
      <c r="F351" s="310"/>
      <c r="G351" s="252" t="s">
        <v>175</v>
      </c>
      <c r="H351" s="253">
        <f>QUARTILE('Analyses descriptives'!$F$31:$F$41,4)</f>
        <v>96</v>
      </c>
      <c r="I351" s="270">
        <f t="shared" si="8"/>
        <v>8</v>
      </c>
      <c r="R351" s="119"/>
    </row>
    <row r="352" spans="1:19" x14ac:dyDescent="0.25">
      <c r="A352" s="182"/>
      <c r="B352" s="255"/>
      <c r="C352" s="256"/>
      <c r="D352" s="256"/>
      <c r="E352" s="256"/>
      <c r="F352" s="252"/>
      <c r="G352" s="252"/>
      <c r="H352" s="253"/>
      <c r="I352" s="254"/>
      <c r="R352" s="119"/>
    </row>
    <row r="353" spans="1:18" x14ac:dyDescent="0.25">
      <c r="A353" s="182"/>
      <c r="B353" s="255"/>
      <c r="C353" s="256"/>
      <c r="D353" s="256"/>
      <c r="E353" s="256"/>
      <c r="F353" s="310" t="s">
        <v>176</v>
      </c>
      <c r="G353" s="252" t="s">
        <v>177</v>
      </c>
      <c r="H353" s="259">
        <f>IF(ISBLANK(H340),"",H332-1.96*H340)</f>
        <v>86.092704516632693</v>
      </c>
      <c r="I353" s="270">
        <f>H353/12</f>
        <v>7.1743920430527242</v>
      </c>
      <c r="R353" s="119"/>
    </row>
    <row r="354" spans="1:18" x14ac:dyDescent="0.25">
      <c r="A354" s="182"/>
      <c r="B354" s="255"/>
      <c r="C354" s="256"/>
      <c r="D354" s="256"/>
      <c r="E354" s="256"/>
      <c r="F354" s="310"/>
      <c r="G354" s="252" t="s">
        <v>178</v>
      </c>
      <c r="H354" s="253">
        <f>IF(ISBLANK(H340),"",COUNTIF('Analyses descriptives'!$F$31:$F$41,"&lt;"&amp;H353))</f>
        <v>0</v>
      </c>
      <c r="I354" s="254"/>
      <c r="K354" t="str">
        <f>IF(OR(ISBLANK(H340),H354=0),"","Au niveau de la distribution, il existe" )</f>
        <v/>
      </c>
      <c r="L354" t="str">
        <f>IF(H354=0,"",H354)</f>
        <v/>
      </c>
      <c r="M354" t="str">
        <f>IF(OR(ISBLANK(H340),H354=0),"","valeurs extrêmes à gauche. Vous devez considérer ce fait lors de vos analyses statistiques car cela peut introduire des biais ou diminuer la significativité de certains tests" )</f>
        <v/>
      </c>
      <c r="R354" s="119"/>
    </row>
    <row r="355" spans="1:18" x14ac:dyDescent="0.25">
      <c r="A355" s="182"/>
      <c r="B355" s="255"/>
      <c r="C355" s="256"/>
      <c r="D355" s="256"/>
      <c r="E355" s="256"/>
      <c r="F355" s="310"/>
      <c r="G355" s="252" t="s">
        <v>179</v>
      </c>
      <c r="H355" s="259">
        <f>IF(ISBLANK(H340),"",H332+1.96*H340)</f>
        <v>96.907295483367307</v>
      </c>
      <c r="I355" s="270">
        <f>H355/12</f>
        <v>8.075607956947275</v>
      </c>
      <c r="R355" s="119"/>
    </row>
    <row r="356" spans="1:18" x14ac:dyDescent="0.25">
      <c r="A356" s="182"/>
      <c r="B356" s="255"/>
      <c r="C356" s="256"/>
      <c r="D356" s="256"/>
      <c r="E356" s="256"/>
      <c r="F356" s="310"/>
      <c r="G356" s="252" t="s">
        <v>180</v>
      </c>
      <c r="H356" s="253">
        <f>IF(ISBLANK(H340),"",COUNTIF('Analyses descriptives'!$F$31:$F$41,"&gt;"&amp;H355))</f>
        <v>0</v>
      </c>
      <c r="I356" s="254"/>
      <c r="K356" t="str">
        <f>IF(OR(ISBLANK(H340),H356=0),"","Au niveau de la distribution, il existe" )</f>
        <v/>
      </c>
      <c r="L356" t="str">
        <f>IF(H356=0,"",H356)</f>
        <v/>
      </c>
      <c r="M356" t="str">
        <f>IF(OR(ISBLANK(H340),H356=0),"","valeurs extrêmes à droite. Vous devez considérer ce fait lors de vos analyses statistiques car cela peut introduire des biais ou diminuer la significativité de certains tests" )</f>
        <v/>
      </c>
      <c r="R356" s="119"/>
    </row>
    <row r="357" spans="1:18" ht="15.75" thickBot="1" x14ac:dyDescent="0.3">
      <c r="A357" s="182"/>
      <c r="B357" s="265"/>
      <c r="C357" s="266"/>
      <c r="D357" s="266"/>
      <c r="E357" s="266"/>
      <c r="F357" s="267"/>
      <c r="G357" s="267"/>
      <c r="H357" s="268"/>
      <c r="I357" s="269"/>
      <c r="R357" s="119"/>
    </row>
    <row r="358" spans="1:18" x14ac:dyDescent="0.25">
      <c r="A358" s="182"/>
    </row>
    <row r="359" spans="1:18" x14ac:dyDescent="0.25">
      <c r="A359" s="182"/>
    </row>
    <row r="360" spans="1:18" ht="15.75" thickBot="1" x14ac:dyDescent="0.3">
      <c r="A360" s="182"/>
    </row>
    <row r="361" spans="1:18" ht="15.75" thickBot="1" x14ac:dyDescent="0.3">
      <c r="A361" s="182"/>
      <c r="B361" s="145" t="str">
        <f>B220</f>
        <v>Note standard Equilibre</v>
      </c>
      <c r="C361" s="146"/>
      <c r="D361" s="146"/>
      <c r="E361" s="146"/>
      <c r="F361" s="146"/>
      <c r="G361" s="146"/>
      <c r="H361" s="233"/>
      <c r="I361" s="147"/>
      <c r="R361" s="119"/>
    </row>
    <row r="362" spans="1:18" x14ac:dyDescent="0.25">
      <c r="A362" s="182"/>
      <c r="B362" s="148"/>
      <c r="C362" s="149"/>
      <c r="D362" s="149"/>
      <c r="E362" s="149"/>
      <c r="F362" s="150"/>
      <c r="G362" s="150"/>
      <c r="H362" s="234"/>
      <c r="I362" s="151"/>
      <c r="R362" s="119"/>
    </row>
    <row r="363" spans="1:18" x14ac:dyDescent="0.25">
      <c r="A363" s="182"/>
      <c r="B363" s="152" t="s">
        <v>150</v>
      </c>
      <c r="C363" s="279" t="s">
        <v>151</v>
      </c>
      <c r="D363" s="279"/>
      <c r="E363" s="279"/>
      <c r="F363" s="153"/>
      <c r="G363" s="153"/>
      <c r="H363" s="235"/>
      <c r="I363" s="155"/>
      <c r="R363" s="119"/>
    </row>
    <row r="364" spans="1:18" x14ac:dyDescent="0.25">
      <c r="A364" s="182"/>
      <c r="B364" s="156"/>
      <c r="C364" s="154"/>
      <c r="D364" s="154"/>
      <c r="E364" s="154"/>
      <c r="F364" s="153"/>
      <c r="G364" s="153" t="s">
        <v>152</v>
      </c>
      <c r="H364" s="235"/>
      <c r="I364" s="155"/>
      <c r="R364" s="119"/>
    </row>
    <row r="365" spans="1:18" x14ac:dyDescent="0.25">
      <c r="A365" s="182"/>
      <c r="B365" s="152" t="s">
        <v>184</v>
      </c>
      <c r="C365" s="157"/>
      <c r="D365" s="154"/>
      <c r="E365" s="158"/>
      <c r="F365" s="153"/>
      <c r="G365" s="153"/>
      <c r="H365" s="235"/>
      <c r="I365" s="155"/>
      <c r="R365" s="119"/>
    </row>
    <row r="366" spans="1:18" ht="15" customHeight="1" x14ac:dyDescent="0.25">
      <c r="A366" s="182"/>
      <c r="B366" s="152" t="s">
        <v>243</v>
      </c>
      <c r="C366" s="154">
        <f>COUNTIF('Analyses descriptives'!$E$31:$E$41,"&lt;4")</f>
        <v>0</v>
      </c>
      <c r="D366" s="154"/>
      <c r="E366" s="158"/>
      <c r="F366" s="305" t="s">
        <v>153</v>
      </c>
      <c r="G366" s="153" t="s">
        <v>27</v>
      </c>
      <c r="H366" s="236">
        <f>AVERAGE('Analyses descriptives'!$E$31:$E$41)</f>
        <v>7.5</v>
      </c>
      <c r="I366" s="155"/>
      <c r="R366" s="119"/>
    </row>
    <row r="367" spans="1:18" x14ac:dyDescent="0.25">
      <c r="A367" s="182"/>
      <c r="B367" s="152" t="s">
        <v>244</v>
      </c>
      <c r="C367" s="154">
        <f>COUNTIFS('Analyses descriptives'!$E$31:$E$41,"&gt;=4",'Analyses descriptives'!$E$31:$E$41,"&lt;8")</f>
        <v>7</v>
      </c>
      <c r="D367" s="154"/>
      <c r="E367" s="158"/>
      <c r="F367" s="305"/>
      <c r="G367" s="153" t="s">
        <v>28</v>
      </c>
      <c r="H367" s="236">
        <f>MEDIAN('Analyses descriptives'!$E$31:$E$41)</f>
        <v>7</v>
      </c>
      <c r="I367" s="155"/>
      <c r="R367" s="119"/>
    </row>
    <row r="368" spans="1:18" x14ac:dyDescent="0.25">
      <c r="A368" s="182"/>
      <c r="B368" s="152" t="s">
        <v>245</v>
      </c>
      <c r="C368" s="154">
        <f>COUNTIFS('Analyses descriptives'!$E$31:$E$41,"&gt;=8",'Analyses descriptives'!$E$31:$E$41,"&lt;12")</f>
        <v>1</v>
      </c>
      <c r="D368" s="154"/>
      <c r="E368" s="158"/>
      <c r="F368" s="305"/>
      <c r="G368" s="153" t="s">
        <v>29</v>
      </c>
      <c r="H368" s="236">
        <f>MODE('Analyses descriptives'!$E$31:$E$41)</f>
        <v>7</v>
      </c>
      <c r="I368" s="155"/>
      <c r="R368" s="119"/>
    </row>
    <row r="369" spans="1:19" x14ac:dyDescent="0.25">
      <c r="A369" s="182"/>
      <c r="B369" s="152" t="s">
        <v>246</v>
      </c>
      <c r="C369" s="154">
        <f>COUNTIFS('Analyses descriptives'!$E$31:$E$41,"&gt;=12",'Analyses descriptives'!$E$31:$E$41,"&lt;16")</f>
        <v>2</v>
      </c>
      <c r="D369" s="154"/>
      <c r="E369" s="158"/>
      <c r="F369" s="159"/>
      <c r="G369" s="153" t="s">
        <v>154</v>
      </c>
      <c r="H369" s="236">
        <f>MIN('Analyses descriptives'!$E$31:$E$41)</f>
        <v>4</v>
      </c>
      <c r="I369" s="155"/>
      <c r="R369" s="119"/>
    </row>
    <row r="370" spans="1:19" x14ac:dyDescent="0.25">
      <c r="A370" s="182"/>
      <c r="B370" s="152" t="s">
        <v>247</v>
      </c>
      <c r="C370" s="154">
        <f>COUNTIFS('Analyses descriptives'!$E$31:$E$41,"&gt;=16",'Analyses descriptives'!$E$31:$E$41,"&lt;20")</f>
        <v>0</v>
      </c>
      <c r="D370" s="154"/>
      <c r="E370" s="158"/>
      <c r="F370" s="159"/>
      <c r="G370" s="153" t="s">
        <v>155</v>
      </c>
      <c r="H370" s="236">
        <f>MAX('Analyses descriptives'!$E$31:$E$41)</f>
        <v>13</v>
      </c>
      <c r="I370" s="155"/>
      <c r="R370" s="119"/>
    </row>
    <row r="371" spans="1:19" x14ac:dyDescent="0.25">
      <c r="A371" s="182"/>
      <c r="B371" s="152" t="s">
        <v>248</v>
      </c>
      <c r="C371" s="154">
        <f>COUNTIF('Analyses descriptives'!$E$31:$E$41,"&gt;=20")</f>
        <v>0</v>
      </c>
      <c r="D371" s="154"/>
      <c r="E371" s="158"/>
      <c r="F371" s="159"/>
      <c r="G371" s="153" t="s">
        <v>156</v>
      </c>
      <c r="H371" s="237">
        <f>COUNT('Analyses descriptives'!$E$31:$E$41)</f>
        <v>10</v>
      </c>
      <c r="I371" s="155"/>
      <c r="R371" s="119"/>
    </row>
    <row r="372" spans="1:19" x14ac:dyDescent="0.25">
      <c r="A372" s="182"/>
      <c r="B372" s="152"/>
      <c r="C372" s="154"/>
      <c r="D372" s="154"/>
      <c r="E372" s="158"/>
      <c r="F372" s="153"/>
      <c r="G372" s="153"/>
      <c r="H372" s="235"/>
      <c r="I372" s="155"/>
      <c r="R372" s="119"/>
    </row>
    <row r="373" spans="1:19" ht="15" customHeight="1" x14ac:dyDescent="0.25">
      <c r="A373" s="182"/>
      <c r="B373" s="152"/>
      <c r="C373" s="154"/>
      <c r="D373" s="158"/>
      <c r="E373" s="158"/>
      <c r="F373" s="305" t="s">
        <v>157</v>
      </c>
      <c r="G373" s="153" t="s">
        <v>158</v>
      </c>
      <c r="H373" s="235">
        <f>IF(OR(ISBLANK(H369),ISBLANK(H370)),"",H370-H369)</f>
        <v>9</v>
      </c>
      <c r="I373" s="155"/>
      <c r="R373" s="119"/>
    </row>
    <row r="374" spans="1:19" x14ac:dyDescent="0.25">
      <c r="A374" s="182"/>
      <c r="B374" s="152" t="s">
        <v>159</v>
      </c>
      <c r="C374" s="154">
        <f>IF(ISBLANK(C366),"",SUM(C366:C372))</f>
        <v>10</v>
      </c>
      <c r="D374" s="154"/>
      <c r="E374" s="154"/>
      <c r="F374" s="305"/>
      <c r="G374" s="153" t="s">
        <v>160</v>
      </c>
      <c r="H374" s="236">
        <f>STDEV('Analyses descriptives'!$E$31:$E$41)</f>
        <v>2.8771127502720115</v>
      </c>
      <c r="I374" s="155"/>
      <c r="R374" s="119"/>
    </row>
    <row r="375" spans="1:19" x14ac:dyDescent="0.25">
      <c r="A375" s="182"/>
      <c r="B375" s="152"/>
      <c r="C375" s="154"/>
      <c r="D375" s="154"/>
      <c r="E375" s="154"/>
      <c r="F375" s="305"/>
      <c r="G375" s="153" t="s">
        <v>45</v>
      </c>
      <c r="H375" s="237">
        <f>IF(ISBLANK(H374),"",H374^2)</f>
        <v>8.2777777777777786</v>
      </c>
      <c r="I375" s="155"/>
      <c r="R375" s="119"/>
    </row>
    <row r="376" spans="1:19" x14ac:dyDescent="0.25">
      <c r="A376" s="182"/>
      <c r="B376" s="132" t="s">
        <v>161</v>
      </c>
      <c r="C376" s="133" t="str">
        <f>IF(ISBLANK(H371),"",IF(H371=C374,"","Check"))</f>
        <v/>
      </c>
      <c r="D376" s="154"/>
      <c r="E376" s="154"/>
      <c r="F376" s="305"/>
      <c r="G376" s="153" t="s">
        <v>162</v>
      </c>
      <c r="H376" s="236">
        <f>IF(OR(ISBLANK(H366),ISBLANK(H374)),"",H374/H366)</f>
        <v>0.38361503336960151</v>
      </c>
      <c r="I376" s="155"/>
      <c r="K376" s="134">
        <f>IF(H376="","",H376*100)</f>
        <v>38.361503336960148</v>
      </c>
      <c r="L376" t="s">
        <v>163</v>
      </c>
      <c r="R376" s="119"/>
    </row>
    <row r="377" spans="1:19" ht="15" customHeight="1" x14ac:dyDescent="0.25">
      <c r="A377" s="182"/>
      <c r="B377" s="302" t="s">
        <v>274</v>
      </c>
      <c r="C377" s="303"/>
      <c r="D377" s="154"/>
      <c r="E377" s="154"/>
      <c r="F377" s="153"/>
      <c r="G377" s="153"/>
      <c r="H377" s="235"/>
      <c r="I377" s="155"/>
      <c r="K377" t="str">
        <f>IF(K376&gt;50,"vos données ne sont pas très homogènes car plus de la moitié de votre moyenne est expliquée par l'écart-type","")</f>
        <v/>
      </c>
      <c r="R377" s="119"/>
    </row>
    <row r="378" spans="1:19" ht="15" customHeight="1" x14ac:dyDescent="0.25">
      <c r="A378" s="182"/>
      <c r="B378" s="302"/>
      <c r="C378" s="303"/>
      <c r="D378" s="154"/>
      <c r="E378" s="154"/>
      <c r="F378" s="305" t="s">
        <v>165</v>
      </c>
      <c r="G378" s="153" t="s">
        <v>166</v>
      </c>
      <c r="H378" s="238">
        <f>KURT('Analyses descriptives'!$E$31:$E$41)</f>
        <v>0.51692652197133793</v>
      </c>
      <c r="I378" s="155"/>
      <c r="R378" s="119"/>
    </row>
    <row r="379" spans="1:19" x14ac:dyDescent="0.25">
      <c r="A379" s="182"/>
      <c r="B379" s="302"/>
      <c r="C379" s="303"/>
      <c r="D379" s="154"/>
      <c r="E379" s="154"/>
      <c r="F379" s="305"/>
      <c r="G379" s="153" t="s">
        <v>167</v>
      </c>
      <c r="H379" s="238">
        <f>SKEW('Analyses descriptives'!$E$31:$E$41)</f>
        <v>1.1196907419643338</v>
      </c>
      <c r="I379" s="155"/>
      <c r="K379" t="str">
        <f>IF(H379&gt;1, "Un coefficient positif indique une distribution décalée à gauche de la médiane, et donc une queue de distribution étalée vers la droite.",IF(H379&lt;-1,"Un coefficient négatif indique une distribution décalée à droite de la médiane, et donc une queue de distribution étalée vers la gauche.","Un coefficient proche de 0 indique une distribution symétrique avec la moyenne équivalente à la médiane."))</f>
        <v>Un coefficient positif indique une distribution décalée à gauche de la médiane, et donc une queue de distribution étalée vers la droite.</v>
      </c>
      <c r="R379" s="119"/>
    </row>
    <row r="380" spans="1:19" x14ac:dyDescent="0.25">
      <c r="A380" s="182"/>
      <c r="B380" s="302"/>
      <c r="C380" s="303"/>
      <c r="D380" s="154"/>
      <c r="E380" s="154"/>
      <c r="F380" s="305"/>
      <c r="G380" s="153" t="s">
        <v>168</v>
      </c>
      <c r="H380" s="238">
        <f>IF(OR(ISBLANK(H371),ISBLANK(H374)),"",(H375/H371)^0.5)</f>
        <v>0.90982293759707877</v>
      </c>
      <c r="I380" s="155"/>
      <c r="K380" t="s">
        <v>169</v>
      </c>
      <c r="Q380" s="135">
        <f>IF(ISBLANK(H366),"",H366-(H380*1.96))</f>
        <v>5.7167470423097253</v>
      </c>
      <c r="R380" s="136" t="s">
        <v>170</v>
      </c>
      <c r="S380" s="135">
        <f>IF(ISBLANK(H366),"",H366+(H380*1.96))</f>
        <v>9.2832529576902747</v>
      </c>
    </row>
    <row r="381" spans="1:19" x14ac:dyDescent="0.25">
      <c r="A381" s="182"/>
      <c r="B381" s="302"/>
      <c r="C381" s="303"/>
      <c r="D381" s="154"/>
      <c r="E381" s="154"/>
      <c r="F381" s="305"/>
      <c r="G381" s="153"/>
      <c r="H381" s="235"/>
      <c r="I381" s="155"/>
      <c r="R381" s="119"/>
    </row>
    <row r="382" spans="1:19" ht="15" customHeight="1" x14ac:dyDescent="0.25">
      <c r="A382" s="182"/>
      <c r="B382" s="160"/>
      <c r="C382" s="161"/>
      <c r="D382" s="154"/>
      <c r="E382" s="154"/>
      <c r="F382" s="305" t="s">
        <v>171</v>
      </c>
      <c r="G382" s="153" t="s">
        <v>172</v>
      </c>
      <c r="H382" s="235">
        <f>QUARTILE('Analyses descriptives'!$E$31:$E$41,1)</f>
        <v>6</v>
      </c>
      <c r="I382" s="155"/>
      <c r="R382" s="119"/>
    </row>
    <row r="383" spans="1:19" x14ac:dyDescent="0.25">
      <c r="A383" s="182"/>
      <c r="B383" s="160"/>
      <c r="C383" s="161"/>
      <c r="D383" s="154"/>
      <c r="E383" s="154"/>
      <c r="F383" s="305"/>
      <c r="G383" s="153" t="s">
        <v>173</v>
      </c>
      <c r="H383" s="235">
        <f>QUARTILE('Analyses descriptives'!$E$31:$E$41,2)</f>
        <v>7</v>
      </c>
      <c r="I383" s="155"/>
      <c r="R383" s="119"/>
    </row>
    <row r="384" spans="1:19" x14ac:dyDescent="0.25">
      <c r="A384" s="182"/>
      <c r="B384" s="156"/>
      <c r="C384" s="154"/>
      <c r="D384" s="154"/>
      <c r="E384" s="154"/>
      <c r="F384" s="305"/>
      <c r="G384" s="153" t="s">
        <v>174</v>
      </c>
      <c r="H384" s="235">
        <f>QUARTILE('Analyses descriptives'!$E$31:$E$41,3)</f>
        <v>7.75</v>
      </c>
      <c r="I384" s="155"/>
      <c r="R384" s="119"/>
    </row>
    <row r="385" spans="1:23" x14ac:dyDescent="0.25">
      <c r="A385" s="182"/>
      <c r="B385" s="156"/>
      <c r="C385" s="154"/>
      <c r="D385" s="154"/>
      <c r="E385" s="154"/>
      <c r="F385" s="305"/>
      <c r="G385" s="153" t="s">
        <v>175</v>
      </c>
      <c r="H385" s="235">
        <f>QUARTILE('Analyses descriptives'!$E$31:$E$41,4)</f>
        <v>13</v>
      </c>
      <c r="I385" s="155"/>
      <c r="R385" s="119"/>
    </row>
    <row r="386" spans="1:23" x14ac:dyDescent="0.25">
      <c r="A386" s="182"/>
      <c r="B386" s="156"/>
      <c r="C386" s="154"/>
      <c r="D386" s="154"/>
      <c r="E386" s="154"/>
      <c r="F386" s="153"/>
      <c r="G386" s="153"/>
      <c r="H386" s="235"/>
      <c r="I386" s="155"/>
      <c r="R386" s="119"/>
    </row>
    <row r="387" spans="1:23" ht="15" customHeight="1" x14ac:dyDescent="0.25">
      <c r="A387" s="182"/>
      <c r="B387" s="156"/>
      <c r="C387" s="154"/>
      <c r="D387" s="154"/>
      <c r="E387" s="154"/>
      <c r="F387" s="305" t="s">
        <v>176</v>
      </c>
      <c r="G387" s="153" t="s">
        <v>177</v>
      </c>
      <c r="H387" s="236">
        <f>IF(ISBLANK(H374),"",H366-1.96*H374)</f>
        <v>1.8608590094668571</v>
      </c>
      <c r="I387" s="155"/>
      <c r="R387" s="119"/>
    </row>
    <row r="388" spans="1:23" x14ac:dyDescent="0.25">
      <c r="A388" s="182"/>
      <c r="B388" s="156"/>
      <c r="C388" s="154"/>
      <c r="D388" s="154"/>
      <c r="E388" s="154"/>
      <c r="F388" s="305"/>
      <c r="G388" s="153" t="s">
        <v>178</v>
      </c>
      <c r="H388" s="235">
        <f>IF(ISBLANK(H374),"",COUNTIF('Analyses descriptives'!$E$31:$E$41,"&lt;"&amp;H387))</f>
        <v>0</v>
      </c>
      <c r="I388" s="155"/>
      <c r="K388" t="str">
        <f>IF(OR(ISBLANK(H374),H388=0),"","Au niveau de la distribution, il existe" )</f>
        <v/>
      </c>
      <c r="L388" t="str">
        <f>IF(H388=0,"",H388)</f>
        <v/>
      </c>
      <c r="M388" t="str">
        <f>IF(OR(ISBLANK(H374),H388=0),"","valeurs extrêmes à gauche. Vous devez considérer ce fait lors de vos analyses statistiques car cela peut introduire des biais ou diminuer la significativité de certains tests" )</f>
        <v/>
      </c>
      <c r="R388" s="119"/>
    </row>
    <row r="389" spans="1:23" x14ac:dyDescent="0.25">
      <c r="A389" s="182"/>
      <c r="B389" s="156"/>
      <c r="C389" s="154"/>
      <c r="D389" s="154"/>
      <c r="E389" s="154"/>
      <c r="F389" s="305"/>
      <c r="G389" s="153" t="s">
        <v>179</v>
      </c>
      <c r="H389" s="236">
        <f>IF(ISBLANK(H374),"",H366+1.96*H374)</f>
        <v>13.139140990533143</v>
      </c>
      <c r="I389" s="155"/>
      <c r="R389" s="119"/>
    </row>
    <row r="390" spans="1:23" x14ac:dyDescent="0.25">
      <c r="A390" s="182"/>
      <c r="B390" s="156"/>
      <c r="C390" s="154"/>
      <c r="D390" s="154"/>
      <c r="E390" s="154"/>
      <c r="F390" s="305"/>
      <c r="G390" s="153" t="s">
        <v>180</v>
      </c>
      <c r="H390" s="235">
        <f>IF(ISBLANK(H374),"",COUNTIF('Analyses descriptives'!$E$31:$E$41,"&gt;"&amp;H389))</f>
        <v>0</v>
      </c>
      <c r="I390" s="155"/>
      <c r="K390" t="str">
        <f>IF(OR(ISBLANK(H374),H390=0),"","Au niveau de la distribution, il existe" )</f>
        <v/>
      </c>
      <c r="L390" t="str">
        <f>IF(H390=0,"",H390)</f>
        <v/>
      </c>
      <c r="M390" t="str">
        <f>IF(OR(ISBLANK(H374),H390=0),"","valeurs extrêmes à droite. Vous devez considérer ce fait lors de vos analyses statistiques car cela peut introduire des biais ou diminuer la significativité de certains tests" )</f>
        <v/>
      </c>
      <c r="R390" s="119"/>
    </row>
    <row r="391" spans="1:23" ht="15.75" thickBot="1" x14ac:dyDescent="0.3">
      <c r="A391" s="182"/>
      <c r="B391" s="162"/>
      <c r="C391" s="163"/>
      <c r="D391" s="163"/>
      <c r="E391" s="163"/>
      <c r="F391" s="164"/>
      <c r="G391" s="164"/>
      <c r="H391" s="239"/>
      <c r="I391" s="165"/>
      <c r="R391" s="119"/>
    </row>
    <row r="392" spans="1:23" x14ac:dyDescent="0.25">
      <c r="A392" s="182"/>
    </row>
    <row r="393" spans="1:23" x14ac:dyDescent="0.25">
      <c r="A393" s="182"/>
    </row>
    <row r="394" spans="1:23" ht="15.75" thickBot="1" x14ac:dyDescent="0.3">
      <c r="A394" s="182"/>
    </row>
    <row r="395" spans="1:23" ht="15.75" thickBot="1" x14ac:dyDescent="0.3">
      <c r="A395" s="182"/>
      <c r="B395" s="116" t="str">
        <f>B254</f>
        <v xml:space="preserve">Score d'attention sélective (G) </v>
      </c>
      <c r="C395" s="117"/>
      <c r="D395" s="117"/>
      <c r="E395" s="117"/>
      <c r="F395" s="117"/>
      <c r="G395" s="117"/>
      <c r="H395" s="227"/>
      <c r="I395" s="118"/>
      <c r="R395" s="119"/>
      <c r="W395" s="168" t="s">
        <v>196</v>
      </c>
    </row>
    <row r="396" spans="1:23" x14ac:dyDescent="0.25">
      <c r="A396" s="182"/>
      <c r="B396" s="120"/>
      <c r="C396" s="121"/>
      <c r="D396" s="121"/>
      <c r="E396" s="121"/>
      <c r="F396" s="122"/>
      <c r="G396" s="122"/>
      <c r="H396" s="228"/>
      <c r="I396" s="123"/>
      <c r="R396" s="119"/>
      <c r="W396" s="168" t="s">
        <v>197</v>
      </c>
    </row>
    <row r="397" spans="1:23" x14ac:dyDescent="0.25">
      <c r="A397" s="182"/>
      <c r="B397" s="124" t="s">
        <v>150</v>
      </c>
      <c r="C397" s="280" t="s">
        <v>197</v>
      </c>
      <c r="D397" s="280"/>
      <c r="E397" s="280"/>
      <c r="F397" s="125"/>
      <c r="G397" s="125"/>
      <c r="H397" s="229"/>
      <c r="I397" s="127"/>
      <c r="R397" s="119"/>
    </row>
    <row r="398" spans="1:23" x14ac:dyDescent="0.25">
      <c r="A398" s="182"/>
      <c r="B398" s="128"/>
      <c r="C398" s="126"/>
      <c r="D398" s="126"/>
      <c r="E398" s="126"/>
      <c r="F398" s="125"/>
      <c r="G398" s="125" t="s">
        <v>152</v>
      </c>
      <c r="H398" s="229"/>
      <c r="I398" s="127"/>
      <c r="R398" s="119"/>
    </row>
    <row r="399" spans="1:23" x14ac:dyDescent="0.25">
      <c r="A399" s="182"/>
      <c r="B399" s="124" t="s">
        <v>184</v>
      </c>
      <c r="C399" s="129"/>
      <c r="D399" s="126"/>
      <c r="E399" s="130"/>
      <c r="F399" s="125"/>
      <c r="G399" s="125"/>
      <c r="H399" s="229"/>
      <c r="I399" s="127"/>
      <c r="R399" s="119"/>
    </row>
    <row r="400" spans="1:23" ht="15" customHeight="1" x14ac:dyDescent="0.25">
      <c r="A400" s="182"/>
      <c r="B400" s="124" t="s">
        <v>236</v>
      </c>
      <c r="C400" s="126">
        <f>COUNTIF('Analyses descriptives'!$C$31:$C$41,"&lt;1")</f>
        <v>0</v>
      </c>
      <c r="D400" s="126"/>
      <c r="E400" s="130"/>
      <c r="F400" s="304" t="s">
        <v>153</v>
      </c>
      <c r="G400" s="125" t="s">
        <v>27</v>
      </c>
      <c r="H400" s="221"/>
      <c r="I400" s="127"/>
      <c r="R400" s="119"/>
    </row>
    <row r="401" spans="1:19" x14ac:dyDescent="0.25">
      <c r="A401" s="182"/>
      <c r="B401" s="124" t="s">
        <v>237</v>
      </c>
      <c r="C401" s="126">
        <f>COUNTIFS('Analyses descriptives'!$C$31:$C$41,"&gt;=1",'Analyses descriptives'!$C$31:$C$41,"&lt;2")</f>
        <v>0</v>
      </c>
      <c r="D401" s="126"/>
      <c r="E401" s="130"/>
      <c r="F401" s="304"/>
      <c r="G401" s="125" t="s">
        <v>28</v>
      </c>
      <c r="H401" s="221"/>
      <c r="I401" s="127"/>
      <c r="R401" s="119"/>
    </row>
    <row r="402" spans="1:19" x14ac:dyDescent="0.25">
      <c r="A402" s="182"/>
      <c r="B402" s="124" t="s">
        <v>238</v>
      </c>
      <c r="C402" s="126">
        <f>COUNTIFS('Analyses descriptives'!$C$31:$C$41,"&gt;=2",'Analyses descriptives'!$C$31:$C$41,"&lt;3")</f>
        <v>0</v>
      </c>
      <c r="D402" s="126"/>
      <c r="E402" s="130"/>
      <c r="F402" s="304"/>
      <c r="G402" s="125" t="s">
        <v>29</v>
      </c>
      <c r="H402" s="221"/>
      <c r="I402" s="127"/>
      <c r="K402" t="s">
        <v>183</v>
      </c>
      <c r="R402" s="119"/>
    </row>
    <row r="403" spans="1:19" x14ac:dyDescent="0.25">
      <c r="A403" s="182"/>
      <c r="B403" s="124" t="s">
        <v>239</v>
      </c>
      <c r="C403" s="126">
        <f>COUNTIFS('Analyses descriptives'!$C$31:$C$41,"&gt;=3",'Analyses descriptives'!$C$31:$C$41,"&lt;4")</f>
        <v>2</v>
      </c>
      <c r="D403" s="126"/>
      <c r="E403" s="130"/>
      <c r="F403" s="131"/>
      <c r="G403" s="125" t="s">
        <v>154</v>
      </c>
      <c r="H403" s="221"/>
      <c r="I403" s="127"/>
      <c r="K403" t="s">
        <v>242</v>
      </c>
      <c r="R403" s="119"/>
    </row>
    <row r="404" spans="1:19" x14ac:dyDescent="0.25">
      <c r="A404" s="182"/>
      <c r="B404" s="124" t="s">
        <v>240</v>
      </c>
      <c r="C404" s="126">
        <f>COUNTIFS('Analyses descriptives'!$C$31:$C$41,"&gt;=4",'Analyses descriptives'!$C$31:$C$41,"&lt;5")</f>
        <v>1</v>
      </c>
      <c r="D404" s="126"/>
      <c r="E404" s="130"/>
      <c r="F404" s="131"/>
      <c r="G404" s="125" t="s">
        <v>155</v>
      </c>
      <c r="H404" s="221"/>
      <c r="I404" s="127"/>
      <c r="R404" s="119"/>
    </row>
    <row r="405" spans="1:19" x14ac:dyDescent="0.25">
      <c r="A405" s="182"/>
      <c r="B405" s="124" t="s">
        <v>241</v>
      </c>
      <c r="C405" s="126">
        <f>COUNTIFS('Analyses descriptives'!$C$31:$C$41,"&gt;=5",'Analyses descriptives'!$C$31:$C$41,"&lt;6")</f>
        <v>3</v>
      </c>
      <c r="D405" s="126"/>
      <c r="E405" s="130"/>
      <c r="F405" s="131"/>
      <c r="G405" s="125" t="s">
        <v>156</v>
      </c>
      <c r="H405" s="230"/>
      <c r="I405" s="127"/>
      <c r="R405" s="119"/>
    </row>
    <row r="406" spans="1:19" x14ac:dyDescent="0.25">
      <c r="A406" s="182"/>
      <c r="B406" s="124" t="s">
        <v>185</v>
      </c>
      <c r="C406" s="126">
        <f>COUNTIF('Analyses descriptives'!$C$31:$C$41,"&gt;=6")</f>
        <v>4</v>
      </c>
      <c r="D406" s="126"/>
      <c r="E406" s="130"/>
      <c r="F406" s="125"/>
      <c r="G406" s="125"/>
      <c r="H406" s="229"/>
      <c r="I406" s="127"/>
      <c r="R406" s="119"/>
    </row>
    <row r="407" spans="1:19" ht="15" customHeight="1" x14ac:dyDescent="0.25">
      <c r="A407" s="182"/>
      <c r="B407" s="124"/>
      <c r="C407" s="126"/>
      <c r="D407" s="130"/>
      <c r="E407" s="130"/>
      <c r="F407" s="304" t="s">
        <v>157</v>
      </c>
      <c r="G407" s="125" t="s">
        <v>158</v>
      </c>
      <c r="H407" s="229"/>
      <c r="I407" s="127"/>
      <c r="R407" s="119"/>
    </row>
    <row r="408" spans="1:19" x14ac:dyDescent="0.25">
      <c r="A408" s="182"/>
      <c r="B408" s="124" t="s">
        <v>159</v>
      </c>
      <c r="C408" s="126">
        <f>IF(ISBLANK(C400),"",SUM(C400:C406))</f>
        <v>10</v>
      </c>
      <c r="D408" s="126"/>
      <c r="E408" s="126"/>
      <c r="F408" s="304"/>
      <c r="G408" s="125" t="s">
        <v>160</v>
      </c>
      <c r="H408" s="221"/>
      <c r="I408" s="127"/>
      <c r="R408" s="119"/>
    </row>
    <row r="409" spans="1:19" x14ac:dyDescent="0.25">
      <c r="A409" s="182"/>
      <c r="B409" s="124"/>
      <c r="C409" s="126"/>
      <c r="D409" s="126"/>
      <c r="E409" s="126"/>
      <c r="F409" s="304"/>
      <c r="G409" s="125" t="s">
        <v>45</v>
      </c>
      <c r="H409" s="230"/>
      <c r="I409" s="127"/>
      <c r="R409" s="119"/>
    </row>
    <row r="410" spans="1:19" x14ac:dyDescent="0.25">
      <c r="A410" s="182"/>
      <c r="B410" s="132" t="s">
        <v>161</v>
      </c>
      <c r="C410" s="133" t="str">
        <f>IF(ISBLANK(H405),"",IF(H405=C408,"","Check"))</f>
        <v/>
      </c>
      <c r="D410" s="126"/>
      <c r="E410" s="126"/>
      <c r="F410" s="304"/>
      <c r="G410" s="125" t="s">
        <v>162</v>
      </c>
      <c r="H410" s="221"/>
      <c r="I410" s="127"/>
      <c r="K410" s="134" t="str">
        <f>IF(H410="","",H410*100)</f>
        <v/>
      </c>
      <c r="L410" t="s">
        <v>163</v>
      </c>
      <c r="R410" s="119"/>
    </row>
    <row r="411" spans="1:19" ht="15" customHeight="1" x14ac:dyDescent="0.25">
      <c r="A411" s="182"/>
      <c r="B411" s="302" t="s">
        <v>275</v>
      </c>
      <c r="C411" s="303"/>
      <c r="D411" s="126"/>
      <c r="E411" s="126"/>
      <c r="F411" s="125"/>
      <c r="G411" s="125"/>
      <c r="H411" s="229"/>
      <c r="I411" s="127"/>
      <c r="K411" t="str">
        <f>IF(K410&gt;50,"vos données ne sont pas très homogènes car plus de la moitié de votre moyenne est expliquée par l'écart-type","")</f>
        <v>vos données ne sont pas très homogènes car plus de la moitié de votre moyenne est expliquée par l'écart-type</v>
      </c>
      <c r="R411" s="119"/>
    </row>
    <row r="412" spans="1:19" ht="15" customHeight="1" x14ac:dyDescent="0.25">
      <c r="A412" s="182"/>
      <c r="B412" s="302"/>
      <c r="C412" s="303"/>
      <c r="D412" s="126"/>
      <c r="E412" s="126"/>
      <c r="F412" s="304" t="s">
        <v>165</v>
      </c>
      <c r="G412" s="125" t="s">
        <v>166</v>
      </c>
      <c r="H412" s="231"/>
      <c r="I412" s="127"/>
      <c r="R412" s="119"/>
    </row>
    <row r="413" spans="1:19" x14ac:dyDescent="0.25">
      <c r="A413" s="182"/>
      <c r="B413" s="302"/>
      <c r="C413" s="303"/>
      <c r="D413" s="126"/>
      <c r="E413" s="126"/>
      <c r="F413" s="304"/>
      <c r="G413" s="125" t="s">
        <v>167</v>
      </c>
      <c r="H413" s="231"/>
      <c r="I413" s="127"/>
      <c r="K413" t="str">
        <f>IF(H413&gt;1, "Un coefficient positif indique une distribution décalée à gauche de la médiane, et donc une queue de distribution étalée vers la droite.",IF(H413&lt;-1,"Un coefficient négatif indique une distribution décalée à droite de la médiane, et donc une queue de distribution étalée vers la gauche.","Un coefficient proche de 0 indique une distribution symétrique avec la moyenne équivalente à la médiane."))</f>
        <v>Un coefficient proche de 0 indique une distribution symétrique avec la moyenne équivalente à la médiane.</v>
      </c>
      <c r="R413" s="119"/>
    </row>
    <row r="414" spans="1:19" x14ac:dyDescent="0.25">
      <c r="A414" s="182"/>
      <c r="B414" s="302"/>
      <c r="C414" s="303"/>
      <c r="D414" s="126"/>
      <c r="E414" s="126"/>
      <c r="F414" s="304"/>
      <c r="G414" s="125" t="s">
        <v>168</v>
      </c>
      <c r="H414" s="231"/>
      <c r="I414" s="127"/>
      <c r="K414" t="s">
        <v>169</v>
      </c>
      <c r="Q414" s="135" t="str">
        <f>IF(ISBLANK(H400),"",H400-(H414*1.96))</f>
        <v/>
      </c>
      <c r="R414" s="136" t="s">
        <v>170</v>
      </c>
      <c r="S414" s="135" t="str">
        <f>IF(ISBLANK(H400),"",H400+(H414*1.96))</f>
        <v/>
      </c>
    </row>
    <row r="415" spans="1:19" x14ac:dyDescent="0.25">
      <c r="A415" s="182"/>
      <c r="B415" s="302"/>
      <c r="C415" s="303"/>
      <c r="D415" s="126"/>
      <c r="E415" s="126"/>
      <c r="F415" s="304"/>
      <c r="G415" s="125"/>
      <c r="H415" s="229"/>
      <c r="I415" s="127"/>
      <c r="R415" s="119"/>
    </row>
    <row r="416" spans="1:19" ht="15" customHeight="1" x14ac:dyDescent="0.25">
      <c r="A416" s="182"/>
      <c r="B416" s="137"/>
      <c r="C416" s="138"/>
      <c r="D416" s="126"/>
      <c r="E416" s="126"/>
      <c r="F416" s="304" t="s">
        <v>171</v>
      </c>
      <c r="G416" s="125" t="s">
        <v>172</v>
      </c>
      <c r="H416" s="229"/>
      <c r="I416" s="127"/>
      <c r="R416" s="119"/>
    </row>
    <row r="417" spans="1:18" x14ac:dyDescent="0.25">
      <c r="A417" s="182"/>
      <c r="B417" s="137"/>
      <c r="C417" s="138"/>
      <c r="D417" s="126"/>
      <c r="E417" s="126"/>
      <c r="F417" s="304"/>
      <c r="G417" s="125" t="s">
        <v>173</v>
      </c>
      <c r="H417" s="229"/>
      <c r="I417" s="127"/>
      <c r="R417" s="119"/>
    </row>
    <row r="418" spans="1:18" x14ac:dyDescent="0.25">
      <c r="A418" s="182"/>
      <c r="B418" s="128"/>
      <c r="C418" s="126"/>
      <c r="D418" s="126"/>
      <c r="E418" s="126"/>
      <c r="F418" s="304"/>
      <c r="G418" s="125" t="s">
        <v>174</v>
      </c>
      <c r="H418" s="229"/>
      <c r="I418" s="127"/>
      <c r="R418" s="119"/>
    </row>
    <row r="419" spans="1:18" x14ac:dyDescent="0.25">
      <c r="A419" s="182"/>
      <c r="B419" s="128"/>
      <c r="C419" s="126"/>
      <c r="D419" s="126"/>
      <c r="E419" s="126"/>
      <c r="F419" s="304"/>
      <c r="G419" s="125" t="s">
        <v>175</v>
      </c>
      <c r="H419" s="229"/>
      <c r="I419" s="127"/>
      <c r="R419" s="119"/>
    </row>
    <row r="420" spans="1:18" x14ac:dyDescent="0.25">
      <c r="A420" s="182"/>
      <c r="B420" s="128"/>
      <c r="C420" s="126"/>
      <c r="D420" s="126"/>
      <c r="E420" s="126"/>
      <c r="F420" s="125"/>
      <c r="G420" s="125"/>
      <c r="H420" s="229"/>
      <c r="I420" s="127"/>
      <c r="R420" s="119"/>
    </row>
    <row r="421" spans="1:18" ht="15" customHeight="1" x14ac:dyDescent="0.25">
      <c r="A421" s="182"/>
      <c r="B421" s="128"/>
      <c r="C421" s="126"/>
      <c r="D421" s="126"/>
      <c r="E421" s="126"/>
      <c r="F421" s="304" t="s">
        <v>176</v>
      </c>
      <c r="G421" s="125" t="s">
        <v>177</v>
      </c>
      <c r="H421" s="221"/>
      <c r="I421" s="127"/>
      <c r="R421" s="119"/>
    </row>
    <row r="422" spans="1:18" x14ac:dyDescent="0.25">
      <c r="A422" s="182"/>
      <c r="B422" s="128"/>
      <c r="C422" s="126"/>
      <c r="D422" s="126"/>
      <c r="E422" s="126"/>
      <c r="F422" s="304"/>
      <c r="G422" s="125" t="s">
        <v>178</v>
      </c>
      <c r="H422" s="229"/>
      <c r="I422" s="127"/>
      <c r="K422" t="str">
        <f>IF(OR(ISBLANK(H408),H422=0),"","Au niveau de la distribution, il existe" )</f>
        <v/>
      </c>
      <c r="L422" t="str">
        <f>IF(H422=0,"",H422)</f>
        <v/>
      </c>
      <c r="M422" t="str">
        <f>IF(OR(ISBLANK(H408),H422=0),"","valeurs extrêmes à gauche. Vous devez considérer ce fait lors de vos analyses statistiques car cela peut introduire des biais ou diminuer la significativité de certains tests" )</f>
        <v/>
      </c>
      <c r="R422" s="119"/>
    </row>
    <row r="423" spans="1:18" x14ac:dyDescent="0.25">
      <c r="A423" s="182"/>
      <c r="B423" s="128"/>
      <c r="C423" s="126"/>
      <c r="D423" s="126"/>
      <c r="E423" s="126"/>
      <c r="F423" s="304"/>
      <c r="G423" s="125" t="s">
        <v>179</v>
      </c>
      <c r="H423" s="221"/>
      <c r="I423" s="127"/>
      <c r="R423" s="119"/>
    </row>
    <row r="424" spans="1:18" x14ac:dyDescent="0.25">
      <c r="A424" s="182"/>
      <c r="B424" s="128"/>
      <c r="C424" s="126"/>
      <c r="D424" s="126"/>
      <c r="E424" s="126"/>
      <c r="F424" s="304"/>
      <c r="G424" s="125" t="s">
        <v>180</v>
      </c>
      <c r="H424" s="229"/>
      <c r="I424" s="127"/>
      <c r="K424" t="str">
        <f>IF(OR(ISBLANK(H408),H424=0),"","Au niveau de la distribution, il existe" )</f>
        <v/>
      </c>
      <c r="L424" t="str">
        <f>IF(H424=0,"",H424)</f>
        <v/>
      </c>
      <c r="M424" t="str">
        <f>IF(OR(ISBLANK(H408),H424=0),"","valeurs extrêmes à droite. Vous devez considérer ce fait lors de vos analyses statistiques car cela peut introduire des biais ou diminuer la significativité de certains tests" )</f>
        <v/>
      </c>
      <c r="R424" s="119"/>
    </row>
    <row r="425" spans="1:18" ht="15.75" thickBot="1" x14ac:dyDescent="0.3">
      <c r="A425" s="182"/>
      <c r="B425" s="139"/>
      <c r="C425" s="140"/>
      <c r="D425" s="140"/>
      <c r="E425" s="140"/>
      <c r="F425" s="141"/>
      <c r="G425" s="141"/>
      <c r="H425" s="232"/>
      <c r="I425" s="142"/>
      <c r="R425" s="119"/>
    </row>
    <row r="426" spans="1:18" x14ac:dyDescent="0.25">
      <c r="A426" s="182"/>
      <c r="R426" s="119"/>
    </row>
    <row r="427" spans="1:18" x14ac:dyDescent="0.25">
      <c r="A427" s="182"/>
    </row>
    <row r="428" spans="1:18" ht="15.75" thickBot="1" x14ac:dyDescent="0.3">
      <c r="A428" s="182"/>
    </row>
    <row r="429" spans="1:18" ht="15.75" thickBot="1" x14ac:dyDescent="0.3">
      <c r="A429" s="182"/>
      <c r="B429" s="116" t="str">
        <f>B288</f>
        <v xml:space="preserve">Score d'attention sélective (U) </v>
      </c>
      <c r="C429" s="117"/>
      <c r="D429" s="117"/>
      <c r="E429" s="117"/>
      <c r="F429" s="117"/>
      <c r="G429" s="117"/>
      <c r="H429" s="227"/>
      <c r="I429" s="118"/>
      <c r="R429" s="119"/>
    </row>
    <row r="430" spans="1:18" x14ac:dyDescent="0.25">
      <c r="A430" s="182"/>
      <c r="B430" s="120"/>
      <c r="C430" s="121"/>
      <c r="D430" s="121"/>
      <c r="E430" s="121"/>
      <c r="F430" s="122"/>
      <c r="G430" s="122"/>
      <c r="H430" s="228"/>
      <c r="I430" s="123"/>
      <c r="R430" s="119"/>
    </row>
    <row r="431" spans="1:18" x14ac:dyDescent="0.25">
      <c r="A431" s="182"/>
      <c r="B431" s="124" t="s">
        <v>150</v>
      </c>
      <c r="C431" s="280" t="s">
        <v>151</v>
      </c>
      <c r="D431" s="280"/>
      <c r="E431" s="280"/>
      <c r="F431" s="125"/>
      <c r="G431" s="125"/>
      <c r="H431" s="229"/>
      <c r="I431" s="127"/>
      <c r="R431" s="119"/>
    </row>
    <row r="432" spans="1:18" x14ac:dyDescent="0.25">
      <c r="A432" s="182"/>
      <c r="B432" s="128"/>
      <c r="C432" s="126"/>
      <c r="D432" s="126"/>
      <c r="E432" s="126"/>
      <c r="F432" s="125"/>
      <c r="G432" s="125" t="s">
        <v>152</v>
      </c>
      <c r="H432" s="229"/>
      <c r="I432" s="127"/>
      <c r="R432" s="119"/>
    </row>
    <row r="433" spans="1:19" x14ac:dyDescent="0.25">
      <c r="A433" s="182"/>
      <c r="B433" s="124" t="s">
        <v>184</v>
      </c>
      <c r="C433" s="129"/>
      <c r="D433" s="126"/>
      <c r="E433" s="130"/>
      <c r="F433" s="125"/>
      <c r="G433" s="125"/>
      <c r="H433" s="229"/>
      <c r="I433" s="127"/>
      <c r="R433" s="119"/>
    </row>
    <row r="434" spans="1:19" ht="15" customHeight="1" x14ac:dyDescent="0.25">
      <c r="A434" s="182"/>
      <c r="B434" s="124" t="s">
        <v>186</v>
      </c>
      <c r="C434" s="126">
        <f>COUNTIF('Analyses descriptives'!$D$31:$D$41,"&lt;10")</f>
        <v>0</v>
      </c>
      <c r="D434" s="126"/>
      <c r="E434" s="130"/>
      <c r="F434" s="304" t="s">
        <v>153</v>
      </c>
      <c r="G434" s="125" t="s">
        <v>27</v>
      </c>
      <c r="H434" s="221"/>
      <c r="I434" s="127"/>
      <c r="R434" s="119"/>
    </row>
    <row r="435" spans="1:19" x14ac:dyDescent="0.25">
      <c r="A435" s="182"/>
      <c r="B435" s="124" t="s">
        <v>187</v>
      </c>
      <c r="C435" s="126">
        <f>COUNTIFS('Analyses descriptives'!$D$31:$D$41,"&gt;=10",'Analyses descriptives'!$D$31:$D$41,"&lt;20")</f>
        <v>7</v>
      </c>
      <c r="D435" s="126"/>
      <c r="E435" s="130"/>
      <c r="F435" s="304"/>
      <c r="G435" s="125" t="s">
        <v>28</v>
      </c>
      <c r="H435" s="221"/>
      <c r="I435" s="127"/>
      <c r="R435" s="119"/>
    </row>
    <row r="436" spans="1:19" x14ac:dyDescent="0.25">
      <c r="A436" s="182"/>
      <c r="B436" s="124" t="s">
        <v>188</v>
      </c>
      <c r="C436" s="126">
        <f>COUNTIFS('Analyses descriptives'!$D$31:$D$41,"&gt;=20",'Analyses descriptives'!$D$31:$D$41,"&lt;30")</f>
        <v>3</v>
      </c>
      <c r="D436" s="126"/>
      <c r="E436" s="130"/>
      <c r="F436" s="304"/>
      <c r="G436" s="125" t="s">
        <v>29</v>
      </c>
      <c r="H436" s="221"/>
      <c r="I436" s="127"/>
      <c r="K436" t="s">
        <v>183</v>
      </c>
      <c r="R436" s="119"/>
    </row>
    <row r="437" spans="1:19" x14ac:dyDescent="0.25">
      <c r="A437" s="182"/>
      <c r="B437" s="124" t="s">
        <v>189</v>
      </c>
      <c r="C437" s="126">
        <f>COUNTIFS('Analyses descriptives'!$D$31:$D$41,"&gt;=30",'Analyses descriptives'!$D$31:$D$41,"&lt;40")</f>
        <v>0</v>
      </c>
      <c r="D437" s="126"/>
      <c r="E437" s="130"/>
      <c r="F437" s="131"/>
      <c r="G437" s="125" t="s">
        <v>154</v>
      </c>
      <c r="H437" s="221"/>
      <c r="I437" s="127"/>
      <c r="K437" t="s">
        <v>242</v>
      </c>
      <c r="R437" s="119"/>
    </row>
    <row r="438" spans="1:19" x14ac:dyDescent="0.25">
      <c r="A438" s="182"/>
      <c r="B438" s="124" t="s">
        <v>190</v>
      </c>
      <c r="C438" s="126">
        <f>COUNTIFS('Analyses descriptives'!$D$31:$D$41,"&gt;=40",'Analyses descriptives'!$D$31:$D$41,"&lt;50")</f>
        <v>0</v>
      </c>
      <c r="D438" s="126"/>
      <c r="E438" s="130"/>
      <c r="F438" s="131"/>
      <c r="G438" s="125" t="s">
        <v>155</v>
      </c>
      <c r="H438" s="221"/>
      <c r="I438" s="127"/>
      <c r="R438" s="119"/>
    </row>
    <row r="439" spans="1:19" x14ac:dyDescent="0.25">
      <c r="A439" s="182"/>
      <c r="B439" s="124" t="s">
        <v>191</v>
      </c>
      <c r="C439" s="126">
        <f>COUNTIFS('Analyses descriptives'!$D$31:$D$41,"&gt;=50",'Analyses descriptives'!$D$31:$D$41,"&lt;60")</f>
        <v>0</v>
      </c>
      <c r="D439" s="126"/>
      <c r="E439" s="130"/>
      <c r="F439" s="131"/>
      <c r="G439" s="125" t="s">
        <v>156</v>
      </c>
      <c r="H439" s="230"/>
      <c r="I439" s="127"/>
      <c r="R439" s="119"/>
    </row>
    <row r="440" spans="1:19" x14ac:dyDescent="0.25">
      <c r="A440" s="182"/>
      <c r="B440" s="124" t="s">
        <v>192</v>
      </c>
      <c r="C440" s="126">
        <f>COUNTIF('Analyses descriptives'!$D$31:$D$41,"&gt;=60")</f>
        <v>0</v>
      </c>
      <c r="D440" s="126"/>
      <c r="E440" s="130"/>
      <c r="F440" s="125"/>
      <c r="G440" s="125"/>
      <c r="H440" s="229"/>
      <c r="I440" s="127"/>
      <c r="R440" s="119"/>
    </row>
    <row r="441" spans="1:19" ht="15" customHeight="1" x14ac:dyDescent="0.25">
      <c r="A441" s="182"/>
      <c r="B441" s="124"/>
      <c r="C441" s="126"/>
      <c r="D441" s="130"/>
      <c r="E441" s="130"/>
      <c r="F441" s="304" t="s">
        <v>157</v>
      </c>
      <c r="G441" s="125" t="s">
        <v>158</v>
      </c>
      <c r="H441" s="229"/>
      <c r="I441" s="127"/>
      <c r="R441" s="119"/>
    </row>
    <row r="442" spans="1:19" x14ac:dyDescent="0.25">
      <c r="A442" s="182"/>
      <c r="B442" s="124" t="s">
        <v>159</v>
      </c>
      <c r="C442" s="126">
        <f>IF(ISBLANK(C434),"",SUM(C434:C440))</f>
        <v>10</v>
      </c>
      <c r="D442" s="126"/>
      <c r="E442" s="126"/>
      <c r="F442" s="304"/>
      <c r="G442" s="125" t="s">
        <v>160</v>
      </c>
      <c r="H442" s="221"/>
      <c r="I442" s="127"/>
      <c r="R442" s="119"/>
    </row>
    <row r="443" spans="1:19" x14ac:dyDescent="0.25">
      <c r="A443" s="182"/>
      <c r="B443" s="124"/>
      <c r="C443" s="126"/>
      <c r="D443" s="126"/>
      <c r="E443" s="126"/>
      <c r="F443" s="304"/>
      <c r="G443" s="125" t="s">
        <v>45</v>
      </c>
      <c r="H443" s="230"/>
      <c r="I443" s="127"/>
      <c r="R443" s="119"/>
    </row>
    <row r="444" spans="1:19" x14ac:dyDescent="0.25">
      <c r="A444" s="182"/>
      <c r="B444" s="132" t="s">
        <v>161</v>
      </c>
      <c r="C444" s="133" t="str">
        <f>IF(ISBLANK(H439),"",IF(H439=C442,"","Check"))</f>
        <v/>
      </c>
      <c r="D444" s="126"/>
      <c r="E444" s="126"/>
      <c r="F444" s="304"/>
      <c r="G444" s="125" t="s">
        <v>162</v>
      </c>
      <c r="H444" s="221"/>
      <c r="I444" s="127"/>
      <c r="K444" s="134" t="str">
        <f>IF(H444="","",H444*100)</f>
        <v/>
      </c>
      <c r="L444" t="s">
        <v>163</v>
      </c>
      <c r="R444" s="119"/>
    </row>
    <row r="445" spans="1:19" ht="15" customHeight="1" x14ac:dyDescent="0.25">
      <c r="A445" s="182"/>
      <c r="B445" s="302" t="s">
        <v>275</v>
      </c>
      <c r="C445" s="303"/>
      <c r="D445" s="126"/>
      <c r="E445" s="126"/>
      <c r="F445" s="125"/>
      <c r="G445" s="125"/>
      <c r="H445" s="229"/>
      <c r="I445" s="127"/>
      <c r="K445" t="str">
        <f>IF(K444&gt;50,"vos données ne sont pas très homogènes car plus de la moitié de votre moyenne est expliquée par l'écart-type","")</f>
        <v>vos données ne sont pas très homogènes car plus de la moitié de votre moyenne est expliquée par l'écart-type</v>
      </c>
      <c r="R445" s="119"/>
    </row>
    <row r="446" spans="1:19" ht="15" customHeight="1" x14ac:dyDescent="0.25">
      <c r="A446" s="182"/>
      <c r="B446" s="302"/>
      <c r="C446" s="303"/>
      <c r="D446" s="126"/>
      <c r="E446" s="126"/>
      <c r="F446" s="304" t="s">
        <v>165</v>
      </c>
      <c r="G446" s="125" t="s">
        <v>166</v>
      </c>
      <c r="H446" s="231"/>
      <c r="I446" s="127"/>
      <c r="R446" s="119"/>
    </row>
    <row r="447" spans="1:19" x14ac:dyDescent="0.25">
      <c r="A447" s="182"/>
      <c r="B447" s="302"/>
      <c r="C447" s="303"/>
      <c r="D447" s="126"/>
      <c r="E447" s="126"/>
      <c r="F447" s="304"/>
      <c r="G447" s="125" t="s">
        <v>167</v>
      </c>
      <c r="H447" s="231"/>
      <c r="I447" s="127"/>
      <c r="K447" t="str">
        <f>IF(H447&gt;1, "Un coefficient positif indique une distribution décalée à gauche de la médiane, et donc une queue de distribution étalée vers la droite.",IF(H447&lt;-1,"Un coefficient négatif indique une distribution décalée à droite de la médiane, et donc une queue de distribution étalée vers la gauche.","Un coefficient proche de 0 indique une distribution symétrique avec la moyenne équivalente à la médiane."))</f>
        <v>Un coefficient proche de 0 indique une distribution symétrique avec la moyenne équivalente à la médiane.</v>
      </c>
      <c r="R447" s="119"/>
    </row>
    <row r="448" spans="1:19" x14ac:dyDescent="0.25">
      <c r="A448" s="182"/>
      <c r="B448" s="302"/>
      <c r="C448" s="303"/>
      <c r="D448" s="126"/>
      <c r="E448" s="126"/>
      <c r="F448" s="304"/>
      <c r="G448" s="125" t="s">
        <v>168</v>
      </c>
      <c r="H448" s="231"/>
      <c r="I448" s="127"/>
      <c r="K448" t="s">
        <v>169</v>
      </c>
      <c r="Q448" s="135" t="str">
        <f>IF(ISBLANK(H434),"",H434-(H448*1.96))</f>
        <v/>
      </c>
      <c r="R448" s="136" t="s">
        <v>170</v>
      </c>
      <c r="S448" s="135" t="str">
        <f>IF(ISBLANK(H434),"",H434+(H448*1.96))</f>
        <v/>
      </c>
    </row>
    <row r="449" spans="1:18" x14ac:dyDescent="0.25">
      <c r="A449" s="182"/>
      <c r="B449" s="302"/>
      <c r="C449" s="303"/>
      <c r="D449" s="126"/>
      <c r="E449" s="126"/>
      <c r="F449" s="304"/>
      <c r="G449" s="125"/>
      <c r="H449" s="229"/>
      <c r="I449" s="127"/>
      <c r="R449" s="119"/>
    </row>
    <row r="450" spans="1:18" ht="15" customHeight="1" x14ac:dyDescent="0.25">
      <c r="A450" s="182"/>
      <c r="B450" s="137"/>
      <c r="C450" s="138"/>
      <c r="D450" s="126"/>
      <c r="E450" s="126"/>
      <c r="F450" s="304" t="s">
        <v>171</v>
      </c>
      <c r="G450" s="125" t="s">
        <v>172</v>
      </c>
      <c r="H450" s="229"/>
      <c r="I450" s="127"/>
      <c r="R450" s="119"/>
    </row>
    <row r="451" spans="1:18" x14ac:dyDescent="0.25">
      <c r="A451" s="182"/>
      <c r="B451" s="137"/>
      <c r="C451" s="138"/>
      <c r="D451" s="126"/>
      <c r="E451" s="126"/>
      <c r="F451" s="304"/>
      <c r="G451" s="125" t="s">
        <v>173</v>
      </c>
      <c r="H451" s="229"/>
      <c r="I451" s="127"/>
      <c r="R451" s="119"/>
    </row>
    <row r="452" spans="1:18" x14ac:dyDescent="0.25">
      <c r="A452" s="182"/>
      <c r="B452" s="128"/>
      <c r="C452" s="126"/>
      <c r="D452" s="126"/>
      <c r="E452" s="126"/>
      <c r="F452" s="304"/>
      <c r="G452" s="125" t="s">
        <v>174</v>
      </c>
      <c r="H452" s="229"/>
      <c r="I452" s="127"/>
      <c r="R452" s="119"/>
    </row>
    <row r="453" spans="1:18" x14ac:dyDescent="0.25">
      <c r="A453" s="182"/>
      <c r="B453" s="128"/>
      <c r="C453" s="126"/>
      <c r="D453" s="126"/>
      <c r="E453" s="126"/>
      <c r="F453" s="304"/>
      <c r="G453" s="125" t="s">
        <v>175</v>
      </c>
      <c r="H453" s="229"/>
      <c r="I453" s="127"/>
      <c r="R453" s="119"/>
    </row>
    <row r="454" spans="1:18" x14ac:dyDescent="0.25">
      <c r="A454" s="182"/>
      <c r="B454" s="128"/>
      <c r="C454" s="126"/>
      <c r="D454" s="126"/>
      <c r="E454" s="126"/>
      <c r="F454" s="125"/>
      <c r="G454" s="125"/>
      <c r="H454" s="229"/>
      <c r="I454" s="127"/>
      <c r="R454" s="119"/>
    </row>
    <row r="455" spans="1:18" ht="15" customHeight="1" x14ac:dyDescent="0.25">
      <c r="A455" s="182"/>
      <c r="B455" s="128"/>
      <c r="C455" s="126"/>
      <c r="D455" s="126"/>
      <c r="E455" s="126"/>
      <c r="F455" s="304" t="s">
        <v>176</v>
      </c>
      <c r="G455" s="125" t="s">
        <v>177</v>
      </c>
      <c r="H455" s="221"/>
      <c r="I455" s="127"/>
      <c r="R455" s="119"/>
    </row>
    <row r="456" spans="1:18" x14ac:dyDescent="0.25">
      <c r="A456" s="182"/>
      <c r="B456" s="128"/>
      <c r="C456" s="126"/>
      <c r="D456" s="126"/>
      <c r="E456" s="126"/>
      <c r="F456" s="304"/>
      <c r="G456" s="125" t="s">
        <v>178</v>
      </c>
      <c r="H456" s="229"/>
      <c r="I456" s="127"/>
      <c r="K456" t="str">
        <f>IF(OR(ISBLANK(H442),H456=0),"","Au niveau de la distribution, il existe" )</f>
        <v/>
      </c>
      <c r="L456" t="str">
        <f>IF(H456=0,"",H456)</f>
        <v/>
      </c>
      <c r="M456" t="str">
        <f>IF(OR(ISBLANK(H442),H456=0),"","valeurs extrêmes à gauche. Vous devez considérer ce fait lors de vos analyses statistiques car cela peut introduire des biais ou diminuer la significativité de certains tests" )</f>
        <v/>
      </c>
      <c r="R456" s="119"/>
    </row>
    <row r="457" spans="1:18" x14ac:dyDescent="0.25">
      <c r="A457" s="182"/>
      <c r="B457" s="128"/>
      <c r="C457" s="126"/>
      <c r="D457" s="126"/>
      <c r="E457" s="126"/>
      <c r="F457" s="304"/>
      <c r="G457" s="125" t="s">
        <v>179</v>
      </c>
      <c r="H457" s="221"/>
      <c r="I457" s="127"/>
      <c r="R457" s="119"/>
    </row>
    <row r="458" spans="1:18" x14ac:dyDescent="0.25">
      <c r="A458" s="182"/>
      <c r="B458" s="128"/>
      <c r="C458" s="126"/>
      <c r="D458" s="126"/>
      <c r="E458" s="126"/>
      <c r="F458" s="304"/>
      <c r="G458" s="125" t="s">
        <v>180</v>
      </c>
      <c r="H458" s="229"/>
      <c r="I458" s="127"/>
      <c r="K458" t="str">
        <f>IF(OR(ISBLANK(H442),H458=0),"","Au niveau de la distribution, il existe" )</f>
        <v/>
      </c>
      <c r="L458" t="str">
        <f>IF(H458=0,"",H458)</f>
        <v/>
      </c>
      <c r="M458" t="str">
        <f>IF(OR(ISBLANK(H442),H458=0),"","valeurs extrêmes à droite. Vous devez considérer ce fait lors de vos analyses statistiques car cela peut introduire des biais ou diminuer la significativité de certains tests" )</f>
        <v/>
      </c>
      <c r="R458" s="119"/>
    </row>
    <row r="459" spans="1:18" ht="15.75" thickBot="1" x14ac:dyDescent="0.3">
      <c r="A459" s="182"/>
      <c r="B459" s="139"/>
      <c r="C459" s="140"/>
      <c r="D459" s="140"/>
      <c r="E459" s="140"/>
      <c r="F459" s="141"/>
      <c r="G459" s="141"/>
      <c r="H459" s="232"/>
      <c r="I459" s="142"/>
      <c r="K459" t="s">
        <v>249</v>
      </c>
      <c r="R459" s="119"/>
    </row>
  </sheetData>
  <mergeCells count="79">
    <mergeCell ref="F353:F356"/>
    <mergeCell ref="F66:F69"/>
    <mergeCell ref="F71:F74"/>
    <mergeCell ref="C47:E47"/>
    <mergeCell ref="F50:F52"/>
    <mergeCell ref="F57:F60"/>
    <mergeCell ref="B61:C65"/>
    <mergeCell ref="F62:F65"/>
    <mergeCell ref="F275:F278"/>
    <mergeCell ref="F348:F351"/>
    <mergeCell ref="F232:F235"/>
    <mergeCell ref="F237:F240"/>
    <mergeCell ref="F241:F244"/>
    <mergeCell ref="F246:F249"/>
    <mergeCell ref="F280:F283"/>
    <mergeCell ref="F293:F295"/>
    <mergeCell ref="F300:F303"/>
    <mergeCell ref="F305:F308"/>
    <mergeCell ref="F309:F312"/>
    <mergeCell ref="F314:F317"/>
    <mergeCell ref="F332:F334"/>
    <mergeCell ref="F339:F342"/>
    <mergeCell ref="F344:F347"/>
    <mergeCell ref="B7:K8"/>
    <mergeCell ref="B14:K15"/>
    <mergeCell ref="F259:F261"/>
    <mergeCell ref="F266:F269"/>
    <mergeCell ref="F271:F274"/>
    <mergeCell ref="C188:E188"/>
    <mergeCell ref="F191:F193"/>
    <mergeCell ref="F198:F201"/>
    <mergeCell ref="B202:C206"/>
    <mergeCell ref="F203:F206"/>
    <mergeCell ref="F207:F210"/>
    <mergeCell ref="F212:F215"/>
    <mergeCell ref="F139:F142"/>
    <mergeCell ref="F84:F86"/>
    <mergeCell ref="F91:F94"/>
    <mergeCell ref="F96:F99"/>
    <mergeCell ref="F100:F103"/>
    <mergeCell ref="F105:F108"/>
    <mergeCell ref="B95:C99"/>
    <mergeCell ref="B129:C133"/>
    <mergeCell ref="B163:C167"/>
    <mergeCell ref="A43:A109"/>
    <mergeCell ref="F225:F227"/>
    <mergeCell ref="A184:A250"/>
    <mergeCell ref="B236:C240"/>
    <mergeCell ref="F152:F154"/>
    <mergeCell ref="F159:F162"/>
    <mergeCell ref="F164:F167"/>
    <mergeCell ref="F168:F171"/>
    <mergeCell ref="F173:F176"/>
    <mergeCell ref="F118:F120"/>
    <mergeCell ref="F125:F128"/>
    <mergeCell ref="F130:F133"/>
    <mergeCell ref="F134:F137"/>
    <mergeCell ref="F366:F368"/>
    <mergeCell ref="F373:F376"/>
    <mergeCell ref="F378:F381"/>
    <mergeCell ref="F382:F385"/>
    <mergeCell ref="F387:F390"/>
    <mergeCell ref="F400:F402"/>
    <mergeCell ref="F407:F410"/>
    <mergeCell ref="F412:F415"/>
    <mergeCell ref="F416:F419"/>
    <mergeCell ref="F421:F424"/>
    <mergeCell ref="F434:F436"/>
    <mergeCell ref="F441:F444"/>
    <mergeCell ref="F446:F449"/>
    <mergeCell ref="F450:F453"/>
    <mergeCell ref="F455:F458"/>
    <mergeCell ref="B377:C381"/>
    <mergeCell ref="B270:C274"/>
    <mergeCell ref="B304:C308"/>
    <mergeCell ref="B411:C415"/>
    <mergeCell ref="B445:C449"/>
    <mergeCell ref="C329:E329"/>
    <mergeCell ref="B343:C347"/>
  </mergeCells>
  <dataValidations count="1">
    <dataValidation type="list" allowBlank="1" showInputMessage="1" showErrorMessage="1" sqref="C256 C47 C329 C188 C115 C149 C81 C290 C222 C397 C431 C363" xr:uid="{ADEC0C2E-1239-4191-B983-D19A1654EA3D}">
      <formula1>$W$2:$W$42</formula1>
    </dataValidation>
  </dataValidations>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7138E-CE16-4F5F-BF50-C461EDC6C6F5}">
  <sheetPr codeName="Feuil4"/>
  <dimension ref="A1:Y270"/>
  <sheetViews>
    <sheetView zoomScale="167" workbookViewId="0">
      <selection activeCell="A264" sqref="A264"/>
    </sheetView>
  </sheetViews>
  <sheetFormatPr baseColWidth="10" defaultRowHeight="15" x14ac:dyDescent="0.25"/>
  <cols>
    <col min="1" max="1" width="20.42578125" style="4" customWidth="1"/>
    <col min="2" max="2" width="17.5703125" style="4" customWidth="1"/>
    <col min="3" max="4" width="16.7109375" style="4" customWidth="1"/>
    <col min="5" max="5" width="34.140625" style="4" customWidth="1"/>
    <col min="6" max="6" width="13.85546875" style="4" customWidth="1"/>
    <col min="7" max="7" width="19.7109375" style="4" customWidth="1"/>
    <col min="8" max="9" width="11.42578125" style="4"/>
    <col min="10" max="10" width="17.5703125" style="4" customWidth="1"/>
    <col min="11" max="12" width="11.42578125" style="4"/>
    <col min="13" max="13" width="19.42578125" style="4" customWidth="1"/>
    <col min="14" max="15" width="11.42578125" style="4"/>
    <col min="16" max="16" width="21.28515625" style="4" customWidth="1"/>
    <col min="17" max="16384" width="11.42578125" style="4"/>
  </cols>
  <sheetData>
    <row r="1" spans="1:19" s="3" customFormat="1" ht="23.25" x14ac:dyDescent="0.35">
      <c r="A1" s="2" t="s">
        <v>142</v>
      </c>
      <c r="B1" s="2"/>
      <c r="C1" s="2"/>
      <c r="D1" s="2"/>
      <c r="E1" s="2"/>
      <c r="F1" s="2"/>
      <c r="G1" s="2"/>
      <c r="H1" s="2"/>
      <c r="I1" s="2"/>
      <c r="J1" s="2"/>
      <c r="K1" s="2"/>
      <c r="L1" s="2"/>
      <c r="M1" s="2"/>
      <c r="N1" s="2"/>
      <c r="O1" s="2"/>
      <c r="P1" s="2"/>
      <c r="Q1" s="2"/>
      <c r="R1" s="2"/>
      <c r="S1" s="2"/>
    </row>
    <row r="3" spans="1:19" s="3" customFormat="1" ht="23.25" x14ac:dyDescent="0.35">
      <c r="A3" s="2" t="s">
        <v>143</v>
      </c>
      <c r="B3" s="2"/>
      <c r="C3" s="2"/>
      <c r="D3" s="2"/>
      <c r="E3" s="2"/>
      <c r="F3" s="2"/>
      <c r="G3" s="2"/>
      <c r="H3" s="2"/>
      <c r="I3" s="2"/>
      <c r="J3" s="2"/>
      <c r="K3" s="2"/>
      <c r="L3" s="2"/>
      <c r="M3" s="2"/>
      <c r="N3" s="2"/>
      <c r="O3" s="2"/>
      <c r="P3" s="2"/>
      <c r="Q3" s="2"/>
      <c r="R3" s="2"/>
      <c r="S3" s="2"/>
    </row>
    <row r="4" spans="1:19" x14ac:dyDescent="0.25">
      <c r="B4" s="4" t="s">
        <v>144</v>
      </c>
    </row>
    <row r="5" spans="1:19" x14ac:dyDescent="0.25">
      <c r="B5" s="4" t="s">
        <v>145</v>
      </c>
    </row>
    <row r="6" spans="1:19" x14ac:dyDescent="0.25">
      <c r="B6" s="4" t="s">
        <v>146</v>
      </c>
    </row>
    <row r="7" spans="1:19" x14ac:dyDescent="0.25">
      <c r="B7" s="4" t="s">
        <v>147</v>
      </c>
    </row>
    <row r="8" spans="1:19" x14ac:dyDescent="0.25">
      <c r="B8" s="4" t="s">
        <v>0</v>
      </c>
    </row>
    <row r="11" spans="1:19" ht="21" x14ac:dyDescent="0.35">
      <c r="F11" s="5"/>
      <c r="G11" s="5"/>
    </row>
    <row r="12" spans="1:19" ht="63" x14ac:dyDescent="0.25">
      <c r="A12" s="143" t="s">
        <v>1</v>
      </c>
      <c r="B12" s="143" t="s">
        <v>181</v>
      </c>
      <c r="C12" s="143" t="str">
        <f>DATA!N4</f>
        <v xml:space="preserve">Score d'attention sélective (G) </v>
      </c>
      <c r="D12" s="143" t="str">
        <f>DATA!P4</f>
        <v xml:space="preserve">Score d'attention sélective (U) </v>
      </c>
      <c r="E12" s="143" t="s">
        <v>210</v>
      </c>
      <c r="F12" s="143" t="s">
        <v>227</v>
      </c>
    </row>
    <row r="13" spans="1:19" x14ac:dyDescent="0.25">
      <c r="A13" s="7" t="str">
        <f>DATA!D5</f>
        <v>T1</v>
      </c>
      <c r="B13" s="7">
        <v>1</v>
      </c>
      <c r="C13" s="7">
        <f>DATA!N5</f>
        <v>3.36</v>
      </c>
      <c r="D13" s="7">
        <f>DATA!P5</f>
        <v>40</v>
      </c>
      <c r="E13" s="7">
        <f>DATA!S5</f>
        <v>16</v>
      </c>
      <c r="F13" s="7">
        <f>DATA!G5</f>
        <v>92</v>
      </c>
    </row>
    <row r="14" spans="1:19" x14ac:dyDescent="0.25">
      <c r="A14" s="7" t="str">
        <f>DATA!D6</f>
        <v>T2</v>
      </c>
      <c r="B14" s="7">
        <v>1</v>
      </c>
      <c r="C14" s="7">
        <f>DATA!N6</f>
        <v>2.37</v>
      </c>
      <c r="D14" s="7">
        <f>DATA!P6</f>
        <v>30</v>
      </c>
      <c r="E14" s="7">
        <f>DATA!S6</f>
        <v>15</v>
      </c>
      <c r="F14" s="7">
        <f>DATA!G6</f>
        <v>95</v>
      </c>
    </row>
    <row r="15" spans="1:19" x14ac:dyDescent="0.25">
      <c r="A15" s="7" t="str">
        <f>DATA!D7</f>
        <v>T3</v>
      </c>
      <c r="B15" s="7">
        <v>1</v>
      </c>
      <c r="C15" s="7">
        <f>DATA!N7</f>
        <v>5.85</v>
      </c>
      <c r="D15" s="7">
        <f>DATA!P7</f>
        <v>15</v>
      </c>
      <c r="E15" s="7">
        <f>DATA!S7</f>
        <v>7</v>
      </c>
      <c r="F15" s="7">
        <f>DATA!G7</f>
        <v>86</v>
      </c>
    </row>
    <row r="16" spans="1:19" x14ac:dyDescent="0.25">
      <c r="A16" s="7" t="str">
        <f>DATA!D8</f>
        <v>T4</v>
      </c>
      <c r="B16" s="7">
        <v>1</v>
      </c>
      <c r="C16" s="7">
        <f>DATA!N8</f>
        <v>4.62</v>
      </c>
      <c r="D16" s="7">
        <f>DATA!P8</f>
        <v>28</v>
      </c>
      <c r="E16" s="7">
        <f>DATA!S8</f>
        <v>11</v>
      </c>
      <c r="F16" s="7">
        <f>DATA!G8</f>
        <v>88</v>
      </c>
    </row>
    <row r="17" spans="1:6" x14ac:dyDescent="0.25">
      <c r="A17" s="7" t="str">
        <f>DATA!D9</f>
        <v>T5</v>
      </c>
      <c r="B17" s="7">
        <v>1</v>
      </c>
      <c r="C17" s="7">
        <f>DATA!N9</f>
        <v>4.75</v>
      </c>
      <c r="D17" s="7">
        <f>DATA!P9</f>
        <v>26</v>
      </c>
      <c r="E17" s="7">
        <f>DATA!S9</f>
        <v>11</v>
      </c>
      <c r="F17" s="7">
        <f>DATA!G9</f>
        <v>94</v>
      </c>
    </row>
    <row r="18" spans="1:6" x14ac:dyDescent="0.25">
      <c r="A18" s="7" t="str">
        <f>DATA!D10</f>
        <v>T6</v>
      </c>
      <c r="B18" s="7">
        <v>1</v>
      </c>
      <c r="C18" s="7">
        <f>DATA!N10</f>
        <v>4.12</v>
      </c>
      <c r="D18" s="7">
        <f>DATA!P10</f>
        <v>29</v>
      </c>
      <c r="E18" s="7">
        <f>DATA!S10</f>
        <v>15</v>
      </c>
      <c r="F18" s="7">
        <f>DATA!G10</f>
        <v>89</v>
      </c>
    </row>
    <row r="19" spans="1:6" x14ac:dyDescent="0.25">
      <c r="A19" s="7" t="str">
        <f>DATA!D11</f>
        <v>T7</v>
      </c>
      <c r="B19" s="7">
        <v>1</v>
      </c>
      <c r="C19" s="7">
        <f>DATA!N11</f>
        <v>3.6</v>
      </c>
      <c r="D19" s="7">
        <f>DATA!P11</f>
        <v>23</v>
      </c>
      <c r="E19" s="7">
        <f>DATA!S11</f>
        <v>8</v>
      </c>
      <c r="F19" s="7">
        <f>DATA!G11</f>
        <v>89</v>
      </c>
    </row>
    <row r="20" spans="1:6" x14ac:dyDescent="0.25">
      <c r="A20" s="7" t="str">
        <f>DATA!D12</f>
        <v>T8</v>
      </c>
      <c r="B20" s="7">
        <v>1</v>
      </c>
      <c r="C20" s="7">
        <f>DATA!N12</f>
        <v>4.32</v>
      </c>
      <c r="D20" s="7">
        <f>DATA!P12</f>
        <v>24</v>
      </c>
      <c r="E20" s="7">
        <f>DATA!S12</f>
        <v>10</v>
      </c>
      <c r="F20" s="7">
        <f>DATA!G12</f>
        <v>92</v>
      </c>
    </row>
    <row r="21" spans="1:6" x14ac:dyDescent="0.25">
      <c r="A21" s="7" t="str">
        <f>DATA!D13</f>
        <v>T9</v>
      </c>
      <c r="B21" s="7">
        <v>1</v>
      </c>
      <c r="C21" s="7">
        <f>DATA!N13</f>
        <v>3.87</v>
      </c>
      <c r="D21" s="7">
        <f>DATA!P13</f>
        <v>27</v>
      </c>
      <c r="E21" s="7">
        <f>DATA!S13</f>
        <v>12</v>
      </c>
      <c r="F21" s="7">
        <f>DATA!G13</f>
        <v>90</v>
      </c>
    </row>
    <row r="22" spans="1:6" x14ac:dyDescent="0.25">
      <c r="A22" s="7" t="str">
        <f>DATA!D14</f>
        <v>T10</v>
      </c>
      <c r="B22" s="7">
        <v>1</v>
      </c>
      <c r="C22" s="7">
        <f>DATA!N14</f>
        <v>4.75</v>
      </c>
      <c r="D22" s="7">
        <f>DATA!P14</f>
        <v>17</v>
      </c>
      <c r="E22" s="7">
        <f>DATA!S14</f>
        <v>10</v>
      </c>
      <c r="F22" s="7">
        <f>DATA!G14</f>
        <v>91</v>
      </c>
    </row>
    <row r="23" spans="1:6" x14ac:dyDescent="0.25">
      <c r="A23" s="7"/>
      <c r="B23" s="7"/>
      <c r="C23" s="7"/>
      <c r="D23" s="7"/>
      <c r="E23" s="7"/>
      <c r="F23" s="7"/>
    </row>
    <row r="24" spans="1:6" x14ac:dyDescent="0.25">
      <c r="A24" s="8" t="str">
        <f>DATA!D15</f>
        <v>P1</v>
      </c>
      <c r="B24" s="8">
        <v>1</v>
      </c>
      <c r="C24" s="8">
        <f>DATA!N15</f>
        <v>4.55</v>
      </c>
      <c r="D24" s="8">
        <f>DATA!P15</f>
        <v>12</v>
      </c>
      <c r="E24" s="8">
        <f>DATA!S15</f>
        <v>5</v>
      </c>
      <c r="F24" s="8">
        <f>DATA!G15</f>
        <v>88</v>
      </c>
    </row>
    <row r="25" spans="1:6" x14ac:dyDescent="0.25">
      <c r="A25" s="8" t="str">
        <f>DATA!D16</f>
        <v>P2</v>
      </c>
      <c r="B25" s="8">
        <v>1</v>
      </c>
      <c r="C25" s="8">
        <f>DATA!N16</f>
        <v>3.86</v>
      </c>
      <c r="D25" s="8">
        <f>DATA!P16</f>
        <v>20</v>
      </c>
      <c r="E25" s="8">
        <f>DATA!S16</f>
        <v>13</v>
      </c>
      <c r="F25" s="8">
        <f>DATA!G16</f>
        <v>88</v>
      </c>
    </row>
    <row r="26" spans="1:6" x14ac:dyDescent="0.25">
      <c r="A26" s="8" t="str">
        <f>DATA!D17</f>
        <v>P3</v>
      </c>
      <c r="B26" s="8">
        <v>1</v>
      </c>
      <c r="C26" s="8">
        <f>DATA!N17</f>
        <v>6.72</v>
      </c>
      <c r="D26" s="8">
        <f>DATA!P17</f>
        <v>13</v>
      </c>
      <c r="E26" s="8">
        <f>DATA!S17</f>
        <v>6</v>
      </c>
      <c r="F26" s="8">
        <f>DATA!G17</f>
        <v>92</v>
      </c>
    </row>
    <row r="27" spans="1:6" x14ac:dyDescent="0.25">
      <c r="A27" s="8" t="str">
        <f>DATA!D18</f>
        <v>P4</v>
      </c>
      <c r="B27" s="8">
        <v>1</v>
      </c>
      <c r="C27" s="8">
        <f>DATA!N18</f>
        <v>7.45</v>
      </c>
      <c r="D27" s="8">
        <f>DATA!P18</f>
        <v>11</v>
      </c>
      <c r="E27" s="8">
        <f>DATA!S18</f>
        <v>6</v>
      </c>
      <c r="F27" s="8">
        <f>DATA!G18</f>
        <v>89</v>
      </c>
    </row>
    <row r="28" spans="1:6" x14ac:dyDescent="0.25">
      <c r="A28" s="8" t="str">
        <f>DATA!D19</f>
        <v>P5</v>
      </c>
      <c r="B28" s="8">
        <v>1</v>
      </c>
      <c r="C28" s="8">
        <f>DATA!N19</f>
        <v>9.15</v>
      </c>
      <c r="D28" s="8">
        <f>DATA!P19</f>
        <v>13</v>
      </c>
      <c r="E28" s="8">
        <f>DATA!S19</f>
        <v>4</v>
      </c>
      <c r="F28" s="8">
        <f>DATA!G19</f>
        <v>93</v>
      </c>
    </row>
    <row r="29" spans="1:6" x14ac:dyDescent="0.25">
      <c r="A29" s="8" t="str">
        <f>DATA!D20</f>
        <v>P6</v>
      </c>
      <c r="B29" s="8">
        <v>1</v>
      </c>
      <c r="C29" s="8">
        <f>DATA!N20</f>
        <v>5.12</v>
      </c>
      <c r="D29" s="8">
        <f>DATA!P20</f>
        <v>17</v>
      </c>
      <c r="E29" s="8">
        <f>DATA!S20</f>
        <v>7</v>
      </c>
      <c r="F29" s="8">
        <f>DATA!G20</f>
        <v>95</v>
      </c>
    </row>
    <row r="30" spans="1:6" x14ac:dyDescent="0.25">
      <c r="A30" s="8" t="str">
        <f>DATA!D21</f>
        <v>P7</v>
      </c>
      <c r="B30" s="8">
        <v>1</v>
      </c>
      <c r="C30" s="8">
        <f>DATA!N21</f>
        <v>3.82</v>
      </c>
      <c r="D30" s="8">
        <f>DATA!P21</f>
        <v>26</v>
      </c>
      <c r="E30" s="8">
        <f>DATA!S21</f>
        <v>12</v>
      </c>
      <c r="F30" s="8">
        <f>DATA!G21</f>
        <v>90</v>
      </c>
    </row>
    <row r="31" spans="1:6" x14ac:dyDescent="0.25">
      <c r="A31" s="8" t="str">
        <f>DATA!D22</f>
        <v>P8</v>
      </c>
      <c r="B31" s="8">
        <v>1</v>
      </c>
      <c r="C31" s="8">
        <f>DATA!N22</f>
        <v>5.28</v>
      </c>
      <c r="D31" s="8">
        <f>DATA!P22</f>
        <v>16</v>
      </c>
      <c r="E31" s="8">
        <f>DATA!S22</f>
        <v>7</v>
      </c>
      <c r="F31" s="8">
        <f>DATA!G22</f>
        <v>96</v>
      </c>
    </row>
    <row r="32" spans="1:6" x14ac:dyDescent="0.25">
      <c r="A32" s="8" t="str">
        <f>DATA!D23</f>
        <v>P9</v>
      </c>
      <c r="B32" s="8">
        <v>1</v>
      </c>
      <c r="C32" s="8">
        <f>DATA!N23</f>
        <v>5.85</v>
      </c>
      <c r="D32" s="8">
        <f>DATA!P23</f>
        <v>20</v>
      </c>
      <c r="E32" s="8">
        <f>DATA!S23</f>
        <v>8</v>
      </c>
      <c r="F32" s="8">
        <f>DATA!G23</f>
        <v>92</v>
      </c>
    </row>
    <row r="33" spans="1:7" x14ac:dyDescent="0.25">
      <c r="A33" s="8" t="str">
        <f>DATA!D24</f>
        <v>P10</v>
      </c>
      <c r="B33" s="8">
        <v>1</v>
      </c>
      <c r="C33" s="8">
        <f>DATA!N24</f>
        <v>6.72</v>
      </c>
      <c r="D33" s="8">
        <f>DATA!P24</f>
        <v>17</v>
      </c>
      <c r="E33" s="8">
        <f>DATA!S24</f>
        <v>7</v>
      </c>
      <c r="F33" s="8">
        <f>DATA!G24</f>
        <v>92</v>
      </c>
    </row>
    <row r="34" spans="1:7" x14ac:dyDescent="0.25">
      <c r="A34" s="8"/>
      <c r="B34" s="8"/>
      <c r="C34" s="8"/>
      <c r="D34" s="8"/>
      <c r="E34" s="8"/>
      <c r="F34" s="8"/>
    </row>
    <row r="36" spans="1:7" ht="15.75" thickBot="1" x14ac:dyDescent="0.3"/>
    <row r="37" spans="1:7" ht="31.5" customHeight="1" thickTop="1" thickBot="1" x14ac:dyDescent="0.3">
      <c r="A37" s="9" t="s">
        <v>2</v>
      </c>
      <c r="B37" s="10"/>
      <c r="C37" s="10"/>
      <c r="D37" s="10"/>
      <c r="E37" s="10"/>
      <c r="F37" s="10"/>
      <c r="G37" s="11"/>
    </row>
    <row r="38" spans="1:7" s="16" customFormat="1" ht="24.95" customHeight="1" x14ac:dyDescent="0.25">
      <c r="A38" s="12" t="s">
        <v>3</v>
      </c>
      <c r="B38" s="13" t="s">
        <v>4</v>
      </c>
      <c r="C38" s="14"/>
      <c r="D38" s="14"/>
      <c r="E38" s="14"/>
      <c r="F38" s="14"/>
      <c r="G38" s="15"/>
    </row>
    <row r="39" spans="1:7" ht="15.75" thickBot="1" x14ac:dyDescent="0.3">
      <c r="A39" s="17"/>
      <c r="B39" s="18" t="s">
        <v>276</v>
      </c>
      <c r="C39" s="19"/>
      <c r="D39" s="19"/>
      <c r="E39" s="19"/>
      <c r="F39" s="19"/>
      <c r="G39" s="20"/>
    </row>
    <row r="40" spans="1:7" ht="15.75" thickBot="1" x14ac:dyDescent="0.3">
      <c r="A40" s="17"/>
      <c r="B40" s="18" t="s">
        <v>277</v>
      </c>
      <c r="C40" s="19"/>
      <c r="D40" s="19"/>
      <c r="E40" s="19"/>
      <c r="F40" s="19"/>
      <c r="G40" s="20"/>
    </row>
    <row r="41" spans="1:7" ht="15.75" thickBot="1" x14ac:dyDescent="0.3">
      <c r="A41" s="17"/>
      <c r="B41" s="18" t="s">
        <v>278</v>
      </c>
      <c r="C41" s="19"/>
      <c r="D41" s="19"/>
      <c r="E41" s="19"/>
      <c r="F41" s="19"/>
      <c r="G41" s="20"/>
    </row>
    <row r="42" spans="1:7" s="16" customFormat="1" ht="24.95" customHeight="1" x14ac:dyDescent="0.25">
      <c r="A42" s="12" t="s">
        <v>5</v>
      </c>
      <c r="B42" s="13" t="s">
        <v>6</v>
      </c>
      <c r="C42" s="14"/>
      <c r="D42" s="14"/>
      <c r="E42" s="14"/>
      <c r="F42" s="14"/>
      <c r="G42" s="15"/>
    </row>
    <row r="43" spans="1:7" x14ac:dyDescent="0.25">
      <c r="A43" s="21"/>
      <c r="B43" s="22" t="s">
        <v>257</v>
      </c>
      <c r="C43" s="23"/>
      <c r="D43" s="23"/>
      <c r="E43" s="23"/>
      <c r="F43" s="23"/>
      <c r="G43" s="24"/>
    </row>
    <row r="44" spans="1:7" ht="15.75" thickBot="1" x14ac:dyDescent="0.3">
      <c r="A44" s="25"/>
      <c r="B44" s="18" t="s">
        <v>7</v>
      </c>
      <c r="C44" s="19"/>
      <c r="D44" s="19"/>
      <c r="E44" s="19"/>
      <c r="F44" s="19"/>
      <c r="G44" s="20"/>
    </row>
    <row r="45" spans="1:7" s="16" customFormat="1" ht="24.95" customHeight="1" x14ac:dyDescent="0.25">
      <c r="A45" s="12" t="s">
        <v>8</v>
      </c>
      <c r="B45" s="13" t="s">
        <v>9</v>
      </c>
      <c r="C45" s="14"/>
      <c r="D45" s="14"/>
      <c r="E45" s="14"/>
      <c r="F45" s="14"/>
      <c r="G45" s="15"/>
    </row>
    <row r="46" spans="1:7" x14ac:dyDescent="0.25">
      <c r="A46" s="21"/>
      <c r="B46" s="26" t="s">
        <v>10</v>
      </c>
      <c r="C46" s="26"/>
      <c r="D46" s="26"/>
      <c r="E46" s="26"/>
      <c r="F46" s="26"/>
      <c r="G46" s="27"/>
    </row>
    <row r="47" spans="1:7" ht="15.75" thickBot="1" x14ac:dyDescent="0.3">
      <c r="A47" s="25"/>
      <c r="B47" s="19" t="s">
        <v>11</v>
      </c>
      <c r="C47" s="19"/>
      <c r="D47" s="19"/>
      <c r="E47" s="19"/>
      <c r="F47" s="19"/>
      <c r="G47" s="20"/>
    </row>
    <row r="48" spans="1:7" s="16" customFormat="1" ht="24.95" customHeight="1" x14ac:dyDescent="0.25">
      <c r="A48" s="12" t="s">
        <v>12</v>
      </c>
      <c r="B48" s="13" t="s">
        <v>13</v>
      </c>
      <c r="C48" s="14"/>
      <c r="D48" s="14"/>
      <c r="E48" s="14"/>
      <c r="F48" s="14"/>
      <c r="G48" s="15"/>
    </row>
    <row r="49" spans="1:7" x14ac:dyDescent="0.25">
      <c r="A49" s="21"/>
      <c r="B49" s="26" t="s">
        <v>14</v>
      </c>
      <c r="C49" s="26"/>
      <c r="D49" s="26"/>
      <c r="E49" s="26"/>
      <c r="F49" s="26"/>
      <c r="G49" s="27"/>
    </row>
    <row r="50" spans="1:7" ht="15.75" thickBot="1" x14ac:dyDescent="0.3">
      <c r="A50" s="25"/>
      <c r="B50" s="19" t="s">
        <v>15</v>
      </c>
      <c r="C50" s="19"/>
      <c r="D50" s="19"/>
      <c r="E50" s="19"/>
      <c r="F50" s="19"/>
      <c r="G50" s="20"/>
    </row>
    <row r="51" spans="1:7" s="16" customFormat="1" ht="24.95" customHeight="1" x14ac:dyDescent="0.25">
      <c r="A51" s="12" t="s">
        <v>16</v>
      </c>
      <c r="B51" s="13" t="s">
        <v>17</v>
      </c>
      <c r="C51" s="14"/>
      <c r="D51" s="14"/>
      <c r="E51" s="14"/>
      <c r="F51" s="14"/>
      <c r="G51" s="15"/>
    </row>
    <row r="52" spans="1:7" x14ac:dyDescent="0.25">
      <c r="A52" s="21"/>
      <c r="B52" s="26" t="s">
        <v>89</v>
      </c>
      <c r="C52" s="26"/>
      <c r="D52" s="26"/>
      <c r="E52" s="26"/>
      <c r="F52" s="26"/>
      <c r="G52" s="27"/>
    </row>
    <row r="53" spans="1:7" ht="15.75" thickBot="1" x14ac:dyDescent="0.3">
      <c r="A53" s="25"/>
      <c r="B53" s="19" t="s">
        <v>90</v>
      </c>
      <c r="C53" s="19"/>
      <c r="D53" s="19"/>
      <c r="E53" s="19"/>
      <c r="F53" s="19"/>
      <c r="G53" s="20"/>
    </row>
    <row r="54" spans="1:7" s="16" customFormat="1" ht="24.95" customHeight="1" x14ac:dyDescent="0.25">
      <c r="A54" s="12" t="s">
        <v>19</v>
      </c>
      <c r="B54" s="13" t="s">
        <v>20</v>
      </c>
      <c r="C54" s="14"/>
      <c r="D54" s="14"/>
      <c r="E54" s="14"/>
      <c r="F54" s="14"/>
      <c r="G54" s="15"/>
    </row>
    <row r="55" spans="1:7" ht="15.75" thickBot="1" x14ac:dyDescent="0.3">
      <c r="A55" s="25"/>
      <c r="B55" s="26" t="s">
        <v>21</v>
      </c>
      <c r="C55" s="19"/>
      <c r="D55" s="19"/>
      <c r="E55" s="19"/>
      <c r="F55" s="19"/>
      <c r="G55" s="20"/>
    </row>
    <row r="56" spans="1:7" s="16" customFormat="1" ht="24.95" customHeight="1" x14ac:dyDescent="0.25">
      <c r="A56" s="12" t="s">
        <v>22</v>
      </c>
      <c r="B56" s="13" t="s">
        <v>23</v>
      </c>
      <c r="C56" s="14"/>
      <c r="D56" s="14"/>
      <c r="E56" s="14"/>
      <c r="F56" s="14"/>
      <c r="G56" s="15"/>
    </row>
    <row r="57" spans="1:7" x14ac:dyDescent="0.25">
      <c r="A57" s="21"/>
      <c r="B57" s="28" t="s">
        <v>24</v>
      </c>
      <c r="C57" s="26"/>
      <c r="D57" s="26"/>
      <c r="E57" s="26"/>
      <c r="F57" s="26"/>
      <c r="G57" s="27"/>
    </row>
    <row r="58" spans="1:7" ht="15.75" thickBot="1" x14ac:dyDescent="0.3">
      <c r="A58" s="29"/>
      <c r="B58" s="30" t="s">
        <v>25</v>
      </c>
      <c r="C58" s="30"/>
      <c r="D58" s="30"/>
      <c r="E58" s="30"/>
      <c r="F58" s="30"/>
      <c r="G58" s="31"/>
    </row>
    <row r="59" spans="1:7" ht="15.75" thickTop="1" x14ac:dyDescent="0.25"/>
    <row r="61" spans="1:7" ht="18.75" x14ac:dyDescent="0.3">
      <c r="A61" s="277" t="s">
        <v>261</v>
      </c>
      <c r="B61" s="278"/>
      <c r="C61" s="278"/>
      <c r="D61" s="277" t="s">
        <v>262</v>
      </c>
      <c r="E61" s="278"/>
      <c r="F61" s="278"/>
      <c r="G61" s="278"/>
    </row>
    <row r="63" spans="1:7" ht="16.5" x14ac:dyDescent="0.3">
      <c r="A63" s="276" t="s">
        <v>284</v>
      </c>
    </row>
    <row r="65" spans="1:17" ht="18.75" x14ac:dyDescent="0.3">
      <c r="A65" s="32" t="s">
        <v>26</v>
      </c>
      <c r="B65" s="33"/>
      <c r="C65" s="33"/>
      <c r="D65" s="33"/>
      <c r="E65" s="33"/>
      <c r="F65" s="33"/>
      <c r="G65" s="33"/>
    </row>
    <row r="67" spans="1:17" x14ac:dyDescent="0.25">
      <c r="A67" s="315" t="str">
        <f>'Analyses descriptives'!C$19</f>
        <v xml:space="preserve">Score d'attention sélective (G) </v>
      </c>
      <c r="B67" s="315"/>
      <c r="C67" s="315"/>
      <c r="D67" s="315"/>
      <c r="E67" s="315"/>
      <c r="G67" s="316" t="str">
        <f>'Analyses descriptives'!D$19</f>
        <v xml:space="preserve">Score d'attention sélective (U) </v>
      </c>
      <c r="H67" s="316"/>
      <c r="I67" s="316"/>
      <c r="J67" s="316"/>
      <c r="K67" s="316"/>
      <c r="M67" s="321" t="str">
        <f>'Analyses descriptives'!E$19</f>
        <v>Note standard Equilibre</v>
      </c>
      <c r="N67" s="321"/>
      <c r="O67" s="321"/>
      <c r="P67" s="321"/>
      <c r="Q67" s="321"/>
    </row>
    <row r="69" spans="1:17" x14ac:dyDescent="0.25">
      <c r="A69" s="4" t="s">
        <v>148</v>
      </c>
      <c r="D69" s="4" t="s">
        <v>149</v>
      </c>
      <c r="G69" s="4" t="s">
        <v>148</v>
      </c>
      <c r="J69" s="4" t="s">
        <v>149</v>
      </c>
      <c r="M69" s="4" t="s">
        <v>148</v>
      </c>
      <c r="P69" s="4" t="s">
        <v>149</v>
      </c>
    </row>
    <row r="70" spans="1:17" ht="15.75" thickBot="1" x14ac:dyDescent="0.3"/>
    <row r="71" spans="1:17" x14ac:dyDescent="0.25">
      <c r="A71" s="286" t="s">
        <v>102</v>
      </c>
      <c r="B71" s="286"/>
      <c r="D71" s="286" t="s">
        <v>102</v>
      </c>
      <c r="E71" s="286"/>
      <c r="G71" s="286" t="s">
        <v>104</v>
      </c>
      <c r="H71" s="286"/>
      <c r="J71" s="286" t="s">
        <v>104</v>
      </c>
      <c r="K71" s="286"/>
      <c r="M71" s="286" t="s">
        <v>210</v>
      </c>
      <c r="N71" s="286"/>
      <c r="P71" s="286" t="s">
        <v>283</v>
      </c>
      <c r="Q71" s="286"/>
    </row>
    <row r="72" spans="1:17" x14ac:dyDescent="0.25">
      <c r="A72"/>
      <c r="B72"/>
      <c r="D72"/>
      <c r="E72"/>
      <c r="G72"/>
      <c r="H72"/>
      <c r="J72"/>
      <c r="K72"/>
      <c r="M72"/>
      <c r="N72"/>
      <c r="P72"/>
      <c r="Q72"/>
    </row>
    <row r="73" spans="1:17" x14ac:dyDescent="0.25">
      <c r="A73"/>
      <c r="B73"/>
      <c r="D73"/>
      <c r="E73"/>
      <c r="G73"/>
      <c r="H73"/>
      <c r="J73"/>
      <c r="K73"/>
      <c r="M73"/>
      <c r="N73"/>
      <c r="P73"/>
      <c r="Q73"/>
    </row>
    <row r="74" spans="1:17" x14ac:dyDescent="0.25">
      <c r="A74"/>
      <c r="B74"/>
      <c r="D74"/>
      <c r="E74"/>
      <c r="G74"/>
      <c r="H74"/>
      <c r="J74"/>
      <c r="K74"/>
      <c r="M74"/>
      <c r="N74"/>
      <c r="P74"/>
      <c r="Q74"/>
    </row>
    <row r="75" spans="1:17" x14ac:dyDescent="0.25">
      <c r="A75"/>
      <c r="B75"/>
      <c r="D75"/>
      <c r="E75"/>
      <c r="G75"/>
      <c r="H75"/>
      <c r="J75"/>
      <c r="K75"/>
      <c r="M75"/>
      <c r="N75"/>
      <c r="P75"/>
      <c r="Q75"/>
    </row>
    <row r="76" spans="1:17" x14ac:dyDescent="0.25">
      <c r="A76"/>
      <c r="B76"/>
      <c r="D76"/>
      <c r="E76"/>
      <c r="G76"/>
      <c r="H76"/>
      <c r="J76"/>
      <c r="K76"/>
      <c r="M76"/>
      <c r="N76"/>
      <c r="P76"/>
      <c r="Q76"/>
    </row>
    <row r="77" spans="1:17" x14ac:dyDescent="0.25">
      <c r="A77"/>
      <c r="B77"/>
      <c r="D77"/>
      <c r="E77"/>
      <c r="G77"/>
      <c r="H77"/>
      <c r="J77"/>
      <c r="K77"/>
      <c r="M77"/>
      <c r="N77"/>
      <c r="P77"/>
      <c r="Q77"/>
    </row>
    <row r="78" spans="1:17" x14ac:dyDescent="0.25">
      <c r="A78"/>
      <c r="B78"/>
      <c r="D78"/>
      <c r="E78"/>
      <c r="G78"/>
      <c r="H78"/>
      <c r="J78"/>
      <c r="K78"/>
      <c r="M78"/>
      <c r="N78"/>
      <c r="P78"/>
      <c r="Q78"/>
    </row>
    <row r="79" spans="1:17" x14ac:dyDescent="0.25">
      <c r="A79"/>
      <c r="B79"/>
      <c r="D79"/>
      <c r="E79"/>
      <c r="G79"/>
      <c r="H79"/>
      <c r="J79"/>
      <c r="K79"/>
      <c r="M79"/>
      <c r="N79"/>
      <c r="P79"/>
      <c r="Q79"/>
    </row>
    <row r="80" spans="1:17" x14ac:dyDescent="0.25">
      <c r="A80"/>
      <c r="B80"/>
      <c r="D80"/>
      <c r="E80"/>
      <c r="G80"/>
      <c r="H80"/>
      <c r="J80"/>
      <c r="K80"/>
      <c r="M80"/>
      <c r="N80"/>
      <c r="P80"/>
      <c r="Q80"/>
    </row>
    <row r="81" spans="1:17" x14ac:dyDescent="0.25">
      <c r="A81"/>
      <c r="B81"/>
      <c r="D81"/>
      <c r="E81"/>
      <c r="G81"/>
      <c r="H81"/>
      <c r="J81"/>
      <c r="K81"/>
      <c r="M81"/>
      <c r="N81"/>
      <c r="P81"/>
      <c r="Q81"/>
    </row>
    <row r="82" spans="1:17" x14ac:dyDescent="0.25">
      <c r="A82"/>
      <c r="B82"/>
      <c r="D82"/>
      <c r="E82"/>
      <c r="G82"/>
      <c r="H82"/>
      <c r="J82"/>
      <c r="K82"/>
      <c r="M82"/>
      <c r="N82"/>
      <c r="P82"/>
      <c r="Q82"/>
    </row>
    <row r="83" spans="1:17" x14ac:dyDescent="0.25">
      <c r="A83"/>
      <c r="B83"/>
      <c r="D83"/>
      <c r="E83"/>
      <c r="G83"/>
      <c r="H83"/>
      <c r="J83"/>
      <c r="K83"/>
      <c r="M83"/>
      <c r="N83"/>
      <c r="P83"/>
      <c r="Q83"/>
    </row>
    <row r="84" spans="1:17" x14ac:dyDescent="0.25">
      <c r="A84"/>
      <c r="B84"/>
      <c r="D84"/>
      <c r="E84"/>
      <c r="G84"/>
      <c r="H84"/>
      <c r="J84"/>
      <c r="K84"/>
      <c r="M84"/>
      <c r="N84"/>
      <c r="P84"/>
      <c r="Q84"/>
    </row>
    <row r="85" spans="1:17" ht="15.75" thickBot="1" x14ac:dyDescent="0.3">
      <c r="A85" s="284"/>
      <c r="B85" s="284"/>
      <c r="D85" s="284"/>
      <c r="E85" s="284"/>
      <c r="G85" s="284"/>
      <c r="H85" s="284"/>
      <c r="J85" s="284"/>
      <c r="K85" s="284"/>
      <c r="M85" s="284"/>
      <c r="N85" s="284"/>
      <c r="P85" s="284"/>
      <c r="Q85" s="284"/>
    </row>
    <row r="94" spans="1:17" ht="18.75" x14ac:dyDescent="0.3">
      <c r="A94" s="35" t="s">
        <v>30</v>
      </c>
      <c r="B94" s="36"/>
      <c r="C94" s="36"/>
      <c r="D94" s="36"/>
      <c r="E94" s="36"/>
      <c r="F94" s="36"/>
      <c r="G94" s="36"/>
    </row>
    <row r="96" spans="1:17" x14ac:dyDescent="0.25">
      <c r="A96" s="37" t="s">
        <v>31</v>
      </c>
      <c r="B96" s="37"/>
      <c r="C96" s="37"/>
      <c r="D96" s="37"/>
      <c r="E96" s="37"/>
      <c r="F96" s="37"/>
      <c r="G96" s="37"/>
    </row>
    <row r="97" spans="1:23" ht="15" customHeight="1" x14ac:dyDescent="0.25">
      <c r="A97" s="38" t="s">
        <v>32</v>
      </c>
      <c r="B97" s="313" t="s">
        <v>33</v>
      </c>
      <c r="C97" s="313"/>
      <c r="D97" s="313"/>
      <c r="E97" s="313"/>
      <c r="F97" s="313"/>
      <c r="G97" s="313"/>
    </row>
    <row r="98" spans="1:23" ht="18.75" customHeight="1" x14ac:dyDescent="0.25">
      <c r="A98" s="38"/>
      <c r="B98" s="313" t="s">
        <v>279</v>
      </c>
      <c r="C98" s="313"/>
      <c r="D98" s="313"/>
      <c r="E98" s="313"/>
      <c r="F98" s="313"/>
      <c r="G98" s="313"/>
    </row>
    <row r="99" spans="1:23" ht="9.75" customHeight="1" x14ac:dyDescent="0.25">
      <c r="A99" s="39"/>
      <c r="B99" s="39"/>
      <c r="C99" s="39"/>
      <c r="D99" s="39"/>
      <c r="E99" s="39"/>
      <c r="F99" s="39"/>
      <c r="G99" s="39"/>
    </row>
    <row r="100" spans="1:23" x14ac:dyDescent="0.25">
      <c r="A100" s="40" t="s">
        <v>34</v>
      </c>
      <c r="B100" s="40" t="s">
        <v>35</v>
      </c>
      <c r="C100" s="40"/>
      <c r="D100" s="40"/>
      <c r="E100" s="40"/>
      <c r="F100" s="40"/>
      <c r="G100" s="40"/>
    </row>
    <row r="101" spans="1:23" x14ac:dyDescent="0.25">
      <c r="A101" s="40"/>
      <c r="B101" s="40" t="s">
        <v>280</v>
      </c>
      <c r="C101" s="40"/>
      <c r="D101" s="40"/>
      <c r="E101" s="40"/>
      <c r="F101" s="40"/>
      <c r="G101" s="40"/>
    </row>
    <row r="103" spans="1:23" ht="15.75" thickBot="1" x14ac:dyDescent="0.3"/>
    <row r="104" spans="1:23" s="16" customFormat="1" ht="24.95" customHeight="1" x14ac:dyDescent="0.25">
      <c r="A104" s="41" t="s">
        <v>12</v>
      </c>
      <c r="B104" s="13" t="s">
        <v>13</v>
      </c>
      <c r="C104" s="14"/>
      <c r="D104" s="14"/>
      <c r="E104" s="14"/>
      <c r="F104" s="14"/>
      <c r="G104" s="42"/>
    </row>
    <row r="105" spans="1:23" x14ac:dyDescent="0.25">
      <c r="A105" s="43"/>
      <c r="B105" s="26" t="s">
        <v>14</v>
      </c>
      <c r="C105" s="26"/>
      <c r="D105" s="26"/>
      <c r="E105" s="26"/>
      <c r="F105" s="26"/>
      <c r="G105" s="44"/>
    </row>
    <row r="106" spans="1:23" x14ac:dyDescent="0.25">
      <c r="A106" s="43"/>
      <c r="B106" s="26" t="s">
        <v>36</v>
      </c>
      <c r="C106" s="26"/>
      <c r="D106" s="26"/>
      <c r="E106" s="26"/>
      <c r="F106" s="26"/>
      <c r="G106" s="44"/>
    </row>
    <row r="107" spans="1:23" ht="15.75" thickBot="1" x14ac:dyDescent="0.3">
      <c r="A107" s="45"/>
      <c r="B107" s="19" t="s">
        <v>37</v>
      </c>
      <c r="C107" s="19"/>
      <c r="D107" s="19"/>
      <c r="E107" s="19"/>
      <c r="F107" s="19"/>
      <c r="G107" s="46"/>
    </row>
    <row r="109" spans="1:23" x14ac:dyDescent="0.25">
      <c r="A109" s="315" t="str">
        <f>'Analyses descriptives'!C$19</f>
        <v xml:space="preserve">Score d'attention sélective (G) </v>
      </c>
      <c r="B109" s="315"/>
      <c r="C109" s="315"/>
      <c r="D109" s="315"/>
      <c r="E109" s="315"/>
      <c r="G109" s="316" t="str">
        <f>'Analyses descriptives'!D$19</f>
        <v xml:space="preserve">Score d'attention sélective (U) </v>
      </c>
      <c r="H109" s="316"/>
      <c r="I109" s="316"/>
      <c r="J109" s="316"/>
      <c r="K109" s="316"/>
      <c r="M109" s="321" t="str">
        <f>'Analyses descriptives'!E$19</f>
        <v>Note standard Equilibre</v>
      </c>
      <c r="N109" s="321"/>
      <c r="O109" s="321"/>
      <c r="P109" s="321"/>
      <c r="Q109" s="321"/>
      <c r="S109" s="322" t="s">
        <v>227</v>
      </c>
      <c r="T109" s="322"/>
      <c r="U109" s="322"/>
      <c r="V109" s="322"/>
      <c r="W109" s="322"/>
    </row>
    <row r="111" spans="1:23" ht="15.75" thickBot="1" x14ac:dyDescent="0.3">
      <c r="B111" s="47" t="s">
        <v>215</v>
      </c>
      <c r="G111" s="47" t="s">
        <v>215</v>
      </c>
      <c r="M111" s="47" t="s">
        <v>215</v>
      </c>
      <c r="S111" s="47" t="s">
        <v>215</v>
      </c>
    </row>
    <row r="112" spans="1:23" ht="30.75" customHeight="1" thickTop="1" thickBot="1" x14ac:dyDescent="0.3">
      <c r="B112" s="48"/>
      <c r="C112" s="48" t="s">
        <v>216</v>
      </c>
      <c r="D112" s="49" t="s">
        <v>38</v>
      </c>
      <c r="E112" s="48" t="s">
        <v>39</v>
      </c>
      <c r="G112" s="48"/>
      <c r="H112" s="48" t="s">
        <v>216</v>
      </c>
      <c r="I112" s="49" t="s">
        <v>38</v>
      </c>
      <c r="J112" s="48" t="s">
        <v>39</v>
      </c>
      <c r="M112" s="48"/>
      <c r="N112" s="48" t="s">
        <v>216</v>
      </c>
      <c r="O112" s="49" t="s">
        <v>38</v>
      </c>
      <c r="P112" s="48" t="s">
        <v>39</v>
      </c>
      <c r="S112" s="48"/>
      <c r="T112" s="48" t="s">
        <v>216</v>
      </c>
      <c r="U112" s="49" t="s">
        <v>38</v>
      </c>
      <c r="V112" s="48" t="s">
        <v>39</v>
      </c>
    </row>
    <row r="113" spans="1:22" ht="16.5" thickTop="1" thickBot="1" x14ac:dyDescent="0.3">
      <c r="B113" s="171" t="s">
        <v>211</v>
      </c>
      <c r="C113">
        <v>0.15554000000000001</v>
      </c>
      <c r="D113" s="48">
        <v>9</v>
      </c>
      <c r="E113" s="50">
        <v>0.93933</v>
      </c>
      <c r="G113" s="171" t="s">
        <v>211</v>
      </c>
      <c r="H113">
        <v>0.16846</v>
      </c>
      <c r="I113" s="48">
        <v>9</v>
      </c>
      <c r="J113" s="50">
        <v>0.89590999999999998</v>
      </c>
      <c r="M113" s="171" t="s">
        <v>211</v>
      </c>
      <c r="N113">
        <v>0.18848999999999999</v>
      </c>
      <c r="O113" s="48">
        <v>9</v>
      </c>
      <c r="P113" s="50">
        <v>0.80691999999999997</v>
      </c>
      <c r="S113" s="171" t="s">
        <v>211</v>
      </c>
      <c r="T113">
        <v>0.12966</v>
      </c>
      <c r="U113" s="48">
        <v>9</v>
      </c>
      <c r="V113" s="50">
        <v>0.98782000000000003</v>
      </c>
    </row>
    <row r="114" spans="1:22" ht="16.5" thickTop="1" thickBot="1" x14ac:dyDescent="0.3">
      <c r="B114" s="172" t="s">
        <v>212</v>
      </c>
      <c r="C114" s="48">
        <v>0.13966000000000001</v>
      </c>
      <c r="D114" s="48">
        <v>9</v>
      </c>
      <c r="E114" s="50">
        <v>0.97491000000000005</v>
      </c>
      <c r="G114" s="175" t="s">
        <v>212</v>
      </c>
      <c r="H114" s="176">
        <v>0.18869</v>
      </c>
      <c r="I114" s="48">
        <v>9</v>
      </c>
      <c r="J114" s="50">
        <v>0.80591999999999997</v>
      </c>
      <c r="M114" s="172" t="s">
        <v>212</v>
      </c>
      <c r="N114" s="48">
        <v>0.37728</v>
      </c>
      <c r="O114" s="48">
        <v>9</v>
      </c>
      <c r="P114" s="50">
        <v>0.27267000000000002</v>
      </c>
      <c r="S114" s="172" t="s">
        <v>212</v>
      </c>
      <c r="T114" s="48">
        <v>0.17574999999999999</v>
      </c>
      <c r="U114" s="48">
        <v>9</v>
      </c>
      <c r="V114" s="50">
        <v>0.86614000000000002</v>
      </c>
    </row>
    <row r="115" spans="1:22" ht="15.75" thickTop="1" x14ac:dyDescent="0.25">
      <c r="B115" s="4" t="s">
        <v>37</v>
      </c>
      <c r="E115" s="6"/>
      <c r="G115" s="4" t="s">
        <v>37</v>
      </c>
      <c r="H115" s="170"/>
      <c r="J115" s="6"/>
      <c r="M115" s="4" t="s">
        <v>37</v>
      </c>
      <c r="P115" s="6"/>
      <c r="S115" s="4" t="s">
        <v>37</v>
      </c>
      <c r="V115" s="6"/>
    </row>
    <row r="117" spans="1:22" x14ac:dyDescent="0.25">
      <c r="B117" s="192" t="s">
        <v>213</v>
      </c>
      <c r="C117" s="173"/>
      <c r="E117" s="6"/>
    </row>
    <row r="118" spans="1:22" x14ac:dyDescent="0.25">
      <c r="C118" s="173"/>
      <c r="E118" s="6"/>
    </row>
    <row r="119" spans="1:22" x14ac:dyDescent="0.25">
      <c r="A119" s="174" t="s">
        <v>214</v>
      </c>
      <c r="C119" s="173"/>
      <c r="E119" s="6"/>
    </row>
    <row r="121" spans="1:22" ht="23.25" x14ac:dyDescent="0.25">
      <c r="A121" s="314" t="s">
        <v>40</v>
      </c>
      <c r="B121" s="314"/>
      <c r="C121" s="314"/>
      <c r="D121" s="314"/>
      <c r="E121" s="314"/>
      <c r="F121" s="314"/>
      <c r="G121" s="314"/>
      <c r="H121" s="314"/>
      <c r="I121" s="314"/>
      <c r="J121" s="314"/>
      <c r="K121" s="314"/>
      <c r="L121" s="314"/>
    </row>
    <row r="123" spans="1:22" ht="15.75" thickBot="1" x14ac:dyDescent="0.3"/>
    <row r="124" spans="1:22" s="16" customFormat="1" ht="24.95" customHeight="1" x14ac:dyDescent="0.25">
      <c r="A124" s="41" t="s">
        <v>16</v>
      </c>
      <c r="B124" s="13" t="s">
        <v>17</v>
      </c>
      <c r="C124" s="14"/>
      <c r="D124" s="14"/>
      <c r="E124" s="14"/>
      <c r="F124" s="14"/>
      <c r="G124" s="42"/>
    </row>
    <row r="125" spans="1:22" ht="15.75" thickBot="1" x14ac:dyDescent="0.3">
      <c r="A125" s="45"/>
      <c r="B125" s="19" t="s">
        <v>18</v>
      </c>
      <c r="C125" s="19"/>
      <c r="D125" s="19"/>
      <c r="E125" s="19"/>
      <c r="F125" s="19"/>
      <c r="G125" s="46"/>
    </row>
    <row r="126" spans="1:22" ht="15.75" thickBot="1" x14ac:dyDescent="0.3"/>
    <row r="127" spans="1:22" s="16" customFormat="1" ht="24.95" customHeight="1" x14ac:dyDescent="0.25">
      <c r="A127" s="41" t="s">
        <v>19</v>
      </c>
      <c r="B127" s="13" t="s">
        <v>20</v>
      </c>
      <c r="C127" s="14"/>
      <c r="D127" s="14"/>
      <c r="E127" s="14"/>
      <c r="F127" s="14"/>
      <c r="G127" s="42"/>
    </row>
    <row r="128" spans="1:22" ht="15.75" thickBot="1" x14ac:dyDescent="0.3">
      <c r="A128" s="45"/>
      <c r="B128" s="19" t="s">
        <v>209</v>
      </c>
      <c r="C128" s="19"/>
      <c r="D128" s="19"/>
      <c r="E128" s="19"/>
      <c r="F128" s="19"/>
      <c r="G128" s="46"/>
    </row>
    <row r="130" spans="1:23" x14ac:dyDescent="0.25">
      <c r="A130" s="51" t="s">
        <v>41</v>
      </c>
    </row>
    <row r="132" spans="1:23" ht="15.75" thickBot="1" x14ac:dyDescent="0.3">
      <c r="A132" s="19" t="s">
        <v>21</v>
      </c>
    </row>
    <row r="133" spans="1:23" ht="15" customHeight="1" x14ac:dyDescent="0.25">
      <c r="A133" s="40" t="s">
        <v>42</v>
      </c>
      <c r="B133" s="38"/>
      <c r="C133" s="38"/>
      <c r="D133" s="38"/>
      <c r="E133" s="38"/>
      <c r="F133" s="38"/>
      <c r="G133" s="38"/>
    </row>
    <row r="134" spans="1:23" ht="16.5" customHeight="1" x14ac:dyDescent="0.25">
      <c r="A134" s="40" t="s">
        <v>43</v>
      </c>
      <c r="B134" s="38"/>
      <c r="C134" s="38"/>
      <c r="D134" s="38"/>
      <c r="E134" s="38"/>
      <c r="F134" s="38"/>
      <c r="G134" s="38"/>
    </row>
    <row r="136" spans="1:23" x14ac:dyDescent="0.25">
      <c r="A136" s="315" t="str">
        <f>'Analyses descriptives'!C$19</f>
        <v xml:space="preserve">Score d'attention sélective (G) </v>
      </c>
      <c r="B136" s="315"/>
      <c r="C136" s="315"/>
      <c r="D136" s="315"/>
      <c r="E136" s="315"/>
      <c r="G136" s="316" t="str">
        <f>'Analyses descriptives'!D$19</f>
        <v xml:space="preserve">Score d'attention sélective (U) </v>
      </c>
      <c r="H136" s="316"/>
      <c r="I136" s="316"/>
      <c r="J136" s="316"/>
      <c r="K136" s="316"/>
      <c r="M136" s="321" t="str">
        <f>'Analyses descriptives'!E$19</f>
        <v>Note standard Equilibre</v>
      </c>
      <c r="N136" s="321"/>
      <c r="O136" s="321"/>
      <c r="P136" s="321"/>
      <c r="Q136" s="321"/>
      <c r="S136" s="322" t="s">
        <v>227</v>
      </c>
      <c r="T136" s="322"/>
      <c r="U136" s="322"/>
      <c r="V136" s="322"/>
      <c r="W136" s="322"/>
    </row>
    <row r="139" spans="1:23" x14ac:dyDescent="0.25">
      <c r="A139" t="s">
        <v>44</v>
      </c>
      <c r="B139"/>
      <c r="C139"/>
      <c r="G139" t="s">
        <v>44</v>
      </c>
      <c r="H139"/>
      <c r="I139"/>
      <c r="M139" t="s">
        <v>44</v>
      </c>
      <c r="N139"/>
      <c r="O139"/>
      <c r="S139" t="s">
        <v>44</v>
      </c>
      <c r="T139"/>
      <c r="U139"/>
    </row>
    <row r="140" spans="1:23" ht="15.75" thickBot="1" x14ac:dyDescent="0.3">
      <c r="A140"/>
      <c r="B140"/>
      <c r="C140"/>
      <c r="G140"/>
      <c r="H140"/>
      <c r="I140"/>
      <c r="M140"/>
      <c r="N140"/>
      <c r="O140"/>
      <c r="S140"/>
      <c r="T140"/>
      <c r="U140"/>
    </row>
    <row r="141" spans="1:23" x14ac:dyDescent="0.25">
      <c r="A141" s="285"/>
      <c r="B141" s="178" t="s">
        <v>211</v>
      </c>
      <c r="C141" s="179" t="s">
        <v>212</v>
      </c>
      <c r="G141" s="285"/>
      <c r="H141" s="178" t="s">
        <v>211</v>
      </c>
      <c r="I141" s="179" t="s">
        <v>212</v>
      </c>
      <c r="M141" s="285"/>
      <c r="N141" s="178" t="s">
        <v>211</v>
      </c>
      <c r="O141" s="179" t="s">
        <v>212</v>
      </c>
      <c r="S141" s="285"/>
      <c r="T141" s="178" t="s">
        <v>211</v>
      </c>
      <c r="U141" s="179" t="s">
        <v>212</v>
      </c>
    </row>
    <row r="153" spans="1:7" x14ac:dyDescent="0.25">
      <c r="A153" s="177" t="s">
        <v>46</v>
      </c>
      <c r="B153" s="177"/>
      <c r="C153" s="177"/>
      <c r="D153" s="177"/>
      <c r="E153" s="177"/>
      <c r="F153" s="177"/>
    </row>
    <row r="154" spans="1:7" x14ac:dyDescent="0.25">
      <c r="A154" s="177" t="s">
        <v>47</v>
      </c>
      <c r="B154" s="177"/>
      <c r="C154" s="177"/>
      <c r="D154" s="177"/>
      <c r="E154" s="177"/>
      <c r="F154" s="177"/>
    </row>
    <row r="155" spans="1:7" x14ac:dyDescent="0.25">
      <c r="A155" s="177" t="s">
        <v>48</v>
      </c>
      <c r="B155" s="177"/>
      <c r="C155" s="177"/>
      <c r="D155" s="177"/>
      <c r="E155" s="177"/>
      <c r="F155" s="177"/>
    </row>
    <row r="156" spans="1:7" x14ac:dyDescent="0.25">
      <c r="A156" s="177" t="s">
        <v>49</v>
      </c>
      <c r="B156" s="177"/>
      <c r="C156" s="177"/>
      <c r="D156" s="177"/>
      <c r="E156" s="177"/>
      <c r="F156" s="177"/>
    </row>
    <row r="157" spans="1:7" x14ac:dyDescent="0.25">
      <c r="A157" s="177" t="s">
        <v>50</v>
      </c>
      <c r="B157" s="177"/>
      <c r="C157" s="177"/>
      <c r="D157" s="177"/>
      <c r="E157" s="177"/>
      <c r="F157" s="177"/>
    </row>
    <row r="159" spans="1:7" ht="15.75" thickBot="1" x14ac:dyDescent="0.3"/>
    <row r="160" spans="1:7" s="16" customFormat="1" ht="24.95" customHeight="1" x14ac:dyDescent="0.25">
      <c r="A160" s="41" t="s">
        <v>22</v>
      </c>
      <c r="B160" s="13" t="s">
        <v>23</v>
      </c>
      <c r="C160" s="14"/>
      <c r="D160" s="14"/>
      <c r="E160" s="14"/>
      <c r="F160" s="14"/>
      <c r="G160" s="42"/>
    </row>
    <row r="161" spans="1:23" ht="15.75" thickBot="1" x14ac:dyDescent="0.3">
      <c r="A161" s="45"/>
      <c r="B161" s="18" t="s">
        <v>51</v>
      </c>
      <c r="C161" s="19"/>
      <c r="D161" s="19"/>
      <c r="E161" s="19"/>
      <c r="F161" s="19"/>
      <c r="G161" s="46"/>
    </row>
    <row r="163" spans="1:23" x14ac:dyDescent="0.25">
      <c r="A163" s="4" t="s">
        <v>52</v>
      </c>
    </row>
    <row r="165" spans="1:23" x14ac:dyDescent="0.25">
      <c r="A165" s="315" t="str">
        <f>'Analyses descriptives'!C$19</f>
        <v xml:space="preserve">Score d'attention sélective (G) </v>
      </c>
      <c r="B165" s="315"/>
      <c r="C165" s="315"/>
      <c r="D165" s="315"/>
      <c r="E165" s="315"/>
      <c r="G165" s="316" t="str">
        <f>'Analyses descriptives'!D$19</f>
        <v xml:space="preserve">Score d'attention sélective (U) </v>
      </c>
      <c r="H165" s="316"/>
      <c r="I165" s="316"/>
      <c r="J165" s="316"/>
      <c r="K165" s="316"/>
      <c r="M165" s="321" t="str">
        <f>'Analyses descriptives'!E$19</f>
        <v>Note standard Equilibre</v>
      </c>
      <c r="N165" s="321"/>
      <c r="O165" s="321"/>
      <c r="P165" s="321"/>
      <c r="Q165" s="321"/>
      <c r="S165" s="322" t="s">
        <v>227</v>
      </c>
      <c r="T165" s="322"/>
      <c r="U165" s="322"/>
      <c r="V165" s="322"/>
      <c r="W165" s="322"/>
    </row>
    <row r="167" spans="1:23" x14ac:dyDescent="0.25">
      <c r="A167" t="s">
        <v>254</v>
      </c>
      <c r="B167"/>
      <c r="C167"/>
      <c r="G167" t="s">
        <v>53</v>
      </c>
      <c r="H167"/>
      <c r="I167"/>
      <c r="M167" t="s">
        <v>53</v>
      </c>
      <c r="N167"/>
      <c r="O167"/>
      <c r="S167" t="s">
        <v>53</v>
      </c>
      <c r="T167"/>
      <c r="U167"/>
    </row>
    <row r="168" spans="1:23" ht="15.75" thickBot="1" x14ac:dyDescent="0.3">
      <c r="A168"/>
      <c r="B168"/>
      <c r="C168"/>
      <c r="G168"/>
      <c r="H168"/>
      <c r="I168"/>
      <c r="M168"/>
      <c r="N168"/>
      <c r="O168"/>
      <c r="S168"/>
      <c r="T168"/>
      <c r="U168"/>
    </row>
    <row r="169" spans="1:23" x14ac:dyDescent="0.25">
      <c r="A169" s="285"/>
      <c r="B169" s="178" t="s">
        <v>211</v>
      </c>
      <c r="C169" s="179" t="s">
        <v>212</v>
      </c>
      <c r="G169" s="285"/>
      <c r="H169" s="178" t="s">
        <v>211</v>
      </c>
      <c r="I169" s="179" t="s">
        <v>212</v>
      </c>
      <c r="M169" s="285"/>
      <c r="N169" s="178" t="s">
        <v>211</v>
      </c>
      <c r="O169" s="179" t="s">
        <v>212</v>
      </c>
      <c r="S169" s="285"/>
      <c r="T169" s="178" t="s">
        <v>211</v>
      </c>
      <c r="U169" s="179" t="s">
        <v>212</v>
      </c>
    </row>
    <row r="180" spans="1:25" ht="15.75" thickBot="1" x14ac:dyDescent="0.3">
      <c r="G180" s="284" t="s">
        <v>54</v>
      </c>
      <c r="H180" s="284">
        <v>2.1009220402410378</v>
      </c>
      <c r="I180" s="284"/>
      <c r="M180" s="284" t="s">
        <v>54</v>
      </c>
      <c r="N180" s="284">
        <v>2.1009220402410378</v>
      </c>
      <c r="O180" s="284"/>
      <c r="S180" s="284" t="s">
        <v>54</v>
      </c>
      <c r="T180" s="284">
        <v>2.1009220402410378</v>
      </c>
      <c r="U180" s="284"/>
    </row>
    <row r="181" spans="1:25" x14ac:dyDescent="0.25">
      <c r="A181" s="191" t="s">
        <v>224</v>
      </c>
      <c r="B181" s="191"/>
      <c r="C181" s="191"/>
      <c r="D181" s="191"/>
      <c r="E181" s="191"/>
    </row>
    <row r="182" spans="1:25" ht="16.5" customHeight="1" x14ac:dyDescent="0.25">
      <c r="A182" s="320"/>
      <c r="B182" s="320"/>
      <c r="C182" s="320"/>
      <c r="D182" s="320"/>
      <c r="E182" s="320"/>
      <c r="G182" s="320"/>
      <c r="H182" s="320"/>
      <c r="I182" s="320"/>
      <c r="J182" s="320"/>
      <c r="K182" s="320"/>
      <c r="M182" s="323"/>
      <c r="N182" s="323"/>
      <c r="O182" s="323"/>
      <c r="P182" s="323"/>
      <c r="Q182" s="323"/>
      <c r="S182" s="272"/>
      <c r="T182" s="272"/>
      <c r="U182" s="272"/>
      <c r="V182" s="272"/>
      <c r="W182" s="272"/>
      <c r="X182" s="272"/>
      <c r="Y182" s="272"/>
    </row>
    <row r="183" spans="1:25" ht="15" customHeight="1" x14ac:dyDescent="0.25">
      <c r="A183" s="320"/>
      <c r="B183" s="320"/>
      <c r="C183" s="320"/>
      <c r="D183" s="320"/>
      <c r="E183" s="320"/>
      <c r="G183" s="320"/>
      <c r="H183" s="320"/>
      <c r="I183" s="320"/>
      <c r="J183" s="320"/>
      <c r="K183" s="320"/>
      <c r="M183" s="323"/>
      <c r="N183" s="323"/>
      <c r="O183" s="323"/>
      <c r="P183" s="323"/>
      <c r="Q183" s="323"/>
      <c r="S183" s="272"/>
      <c r="T183" s="272"/>
      <c r="U183" s="272"/>
      <c r="V183" s="272"/>
      <c r="W183" s="272"/>
      <c r="X183" s="272"/>
      <c r="Y183" s="272"/>
    </row>
    <row r="184" spans="1:25" ht="15" customHeight="1" x14ac:dyDescent="0.25">
      <c r="A184" s="320"/>
      <c r="B184" s="320"/>
      <c r="C184" s="320"/>
      <c r="D184" s="320"/>
      <c r="E184" s="320"/>
      <c r="G184" s="320"/>
      <c r="H184" s="320"/>
      <c r="I184" s="320"/>
      <c r="J184" s="320"/>
      <c r="K184" s="320"/>
      <c r="M184" s="320"/>
      <c r="N184" s="320"/>
      <c r="O184" s="320"/>
      <c r="P184" s="320"/>
      <c r="Q184" s="320"/>
      <c r="S184" s="272"/>
      <c r="T184" s="272"/>
      <c r="U184" s="272"/>
      <c r="V184" s="272"/>
      <c r="W184" s="272"/>
      <c r="X184" s="272"/>
      <c r="Y184" s="272"/>
    </row>
    <row r="185" spans="1:25" ht="15" customHeight="1" x14ac:dyDescent="0.25">
      <c r="A185" s="320"/>
      <c r="B185" s="320"/>
      <c r="C185" s="320"/>
      <c r="D185" s="320"/>
      <c r="E185" s="320"/>
      <c r="G185" s="320"/>
      <c r="H185" s="320"/>
      <c r="I185" s="320"/>
      <c r="J185" s="320"/>
      <c r="K185" s="320"/>
      <c r="M185" s="320"/>
      <c r="N185" s="320"/>
      <c r="O185" s="320"/>
      <c r="P185" s="320"/>
      <c r="Q185" s="320"/>
    </row>
    <row r="187" spans="1:25" x14ac:dyDescent="0.25">
      <c r="A187" s="273"/>
      <c r="B187" s="273"/>
      <c r="C187" s="273"/>
      <c r="D187" s="273"/>
      <c r="E187" s="273"/>
    </row>
    <row r="188" spans="1:25" x14ac:dyDescent="0.25">
      <c r="A188" s="273"/>
      <c r="B188" s="273"/>
      <c r="C188" s="273"/>
      <c r="D188" s="273"/>
      <c r="E188" s="273"/>
    </row>
    <row r="189" spans="1:25" x14ac:dyDescent="0.25">
      <c r="A189" s="325"/>
      <c r="B189" s="325"/>
      <c r="C189" s="325"/>
      <c r="D189" s="325"/>
      <c r="E189" s="325"/>
    </row>
    <row r="190" spans="1:25" x14ac:dyDescent="0.25">
      <c r="A190" s="325"/>
      <c r="B190" s="325"/>
      <c r="C190" s="325"/>
      <c r="D190" s="325"/>
      <c r="E190" s="325"/>
    </row>
    <row r="192" spans="1:25" x14ac:dyDescent="0.25">
      <c r="A192" s="52" t="s">
        <v>55</v>
      </c>
      <c r="B192" s="53"/>
      <c r="C192" s="53"/>
      <c r="D192" s="53"/>
      <c r="E192" s="53"/>
      <c r="F192" s="53"/>
    </row>
    <row r="193" spans="1:12" x14ac:dyDescent="0.25">
      <c r="A193" s="54" t="s">
        <v>56</v>
      </c>
      <c r="B193" s="54"/>
      <c r="C193" s="54"/>
      <c r="D193" s="54"/>
      <c r="E193" s="54"/>
      <c r="F193" s="54"/>
    </row>
    <row r="194" spans="1:12" x14ac:dyDescent="0.25">
      <c r="A194" s="54" t="s">
        <v>57</v>
      </c>
      <c r="B194" s="54"/>
      <c r="C194" s="54"/>
      <c r="D194" s="54"/>
      <c r="E194" s="54"/>
      <c r="F194" s="54"/>
    </row>
    <row r="195" spans="1:12" x14ac:dyDescent="0.25">
      <c r="A195" s="54" t="s">
        <v>58</v>
      </c>
      <c r="B195" s="54"/>
      <c r="C195" s="54"/>
      <c r="D195" s="54"/>
      <c r="E195" s="54"/>
      <c r="F195" s="54"/>
    </row>
    <row r="196" spans="1:12" x14ac:dyDescent="0.25">
      <c r="A196" s="54" t="s">
        <v>59</v>
      </c>
      <c r="B196" s="54"/>
      <c r="C196" s="54"/>
      <c r="D196" s="54"/>
      <c r="E196" s="54"/>
      <c r="F196" s="54"/>
    </row>
    <row r="197" spans="1:12" ht="29.25" customHeight="1" x14ac:dyDescent="0.25">
      <c r="A197" s="312" t="s">
        <v>60</v>
      </c>
      <c r="B197" s="312"/>
      <c r="C197" s="312"/>
      <c r="D197" s="312"/>
      <c r="E197" s="312"/>
      <c r="F197" s="312"/>
    </row>
    <row r="202" spans="1:12" ht="23.25" x14ac:dyDescent="0.25">
      <c r="A202" s="314" t="s">
        <v>88</v>
      </c>
      <c r="B202" s="314"/>
      <c r="C202" s="314"/>
      <c r="D202" s="314"/>
      <c r="E202" s="314"/>
      <c r="F202" s="314"/>
      <c r="G202" s="314"/>
      <c r="H202" s="314"/>
      <c r="I202" s="314"/>
      <c r="J202" s="314"/>
      <c r="K202" s="314"/>
      <c r="L202" s="314"/>
    </row>
    <row r="204" spans="1:12" x14ac:dyDescent="0.25">
      <c r="A204" s="33" t="s">
        <v>61</v>
      </c>
      <c r="B204" s="33"/>
      <c r="C204" s="33"/>
      <c r="D204" s="33"/>
      <c r="E204" s="33"/>
      <c r="F204" s="33"/>
    </row>
    <row r="205" spans="1:12" x14ac:dyDescent="0.25">
      <c r="A205" s="55" t="s">
        <v>3</v>
      </c>
      <c r="B205" s="56" t="s">
        <v>62</v>
      </c>
      <c r="C205" s="56"/>
      <c r="D205" s="56"/>
      <c r="E205" s="56"/>
      <c r="F205" s="56"/>
    </row>
    <row r="206" spans="1:12" x14ac:dyDescent="0.25">
      <c r="A206" s="55" t="s">
        <v>5</v>
      </c>
      <c r="B206" s="56" t="s">
        <v>63</v>
      </c>
      <c r="C206" s="56"/>
      <c r="D206" s="56"/>
      <c r="E206" s="56"/>
      <c r="F206" s="56"/>
    </row>
    <row r="207" spans="1:12" x14ac:dyDescent="0.25">
      <c r="A207" s="55" t="s">
        <v>8</v>
      </c>
      <c r="B207" s="56" t="s">
        <v>64</v>
      </c>
      <c r="C207" s="56"/>
      <c r="D207" s="56"/>
      <c r="E207" s="56"/>
      <c r="F207" s="56"/>
    </row>
    <row r="209" spans="1:7" x14ac:dyDescent="0.25">
      <c r="A209" s="319" t="s">
        <v>65</v>
      </c>
      <c r="B209" s="319"/>
      <c r="C209" s="319"/>
      <c r="D209" s="319"/>
      <c r="E209" s="319"/>
      <c r="F209" s="319"/>
    </row>
    <row r="210" spans="1:7" x14ac:dyDescent="0.25">
      <c r="A210" s="57" t="s">
        <v>66</v>
      </c>
      <c r="B210" s="57"/>
      <c r="C210" s="57"/>
      <c r="D210" s="57"/>
      <c r="E210" s="57"/>
      <c r="F210" s="57"/>
    </row>
    <row r="211" spans="1:7" x14ac:dyDescent="0.25">
      <c r="A211" s="57"/>
      <c r="B211" s="57"/>
      <c r="C211" s="57"/>
      <c r="D211" s="57"/>
      <c r="E211" s="57"/>
      <c r="F211" s="57"/>
    </row>
    <row r="212" spans="1:7" x14ac:dyDescent="0.25">
      <c r="A212" s="37" t="s">
        <v>31</v>
      </c>
      <c r="B212" s="37"/>
      <c r="C212" s="37"/>
      <c r="D212" s="37"/>
      <c r="E212" s="37"/>
      <c r="F212" s="37"/>
      <c r="G212" s="37"/>
    </row>
    <row r="213" spans="1:7" x14ac:dyDescent="0.25">
      <c r="A213" s="57"/>
      <c r="B213" s="57"/>
      <c r="C213" s="57"/>
      <c r="D213" s="57"/>
      <c r="E213" s="57"/>
      <c r="F213" s="57"/>
    </row>
    <row r="214" spans="1:7" ht="67.5" customHeight="1" x14ac:dyDescent="0.25">
      <c r="A214" s="318" t="s">
        <v>67</v>
      </c>
      <c r="B214" s="318"/>
      <c r="C214" s="318"/>
      <c r="D214" s="318"/>
      <c r="E214" s="318"/>
      <c r="F214" s="318"/>
    </row>
    <row r="215" spans="1:7" x14ac:dyDescent="0.25">
      <c r="A215" s="317" t="s">
        <v>256</v>
      </c>
      <c r="B215" s="317"/>
      <c r="C215" s="317"/>
      <c r="D215" s="317"/>
      <c r="E215" s="317"/>
      <c r="F215" s="57"/>
    </row>
    <row r="216" spans="1:7" ht="15" customHeight="1" x14ac:dyDescent="0.25">
      <c r="A216" s="38" t="s">
        <v>32</v>
      </c>
      <c r="B216" s="313" t="s">
        <v>68</v>
      </c>
      <c r="C216" s="313"/>
      <c r="D216" s="313"/>
      <c r="E216" s="313"/>
      <c r="F216" s="313"/>
      <c r="G216" s="313"/>
    </row>
    <row r="217" spans="1:7" ht="33" customHeight="1" x14ac:dyDescent="0.25">
      <c r="A217" s="38"/>
      <c r="B217" s="313" t="s">
        <v>281</v>
      </c>
      <c r="C217" s="313"/>
      <c r="D217" s="313"/>
      <c r="E217" s="313"/>
      <c r="F217" s="313"/>
      <c r="G217" s="313"/>
    </row>
    <row r="218" spans="1:7" x14ac:dyDescent="0.25">
      <c r="A218" s="39"/>
      <c r="B218" s="39"/>
      <c r="C218" s="39"/>
      <c r="D218" s="39"/>
      <c r="E218" s="39"/>
      <c r="F218" s="39"/>
      <c r="G218" s="39"/>
    </row>
    <row r="219" spans="1:7" x14ac:dyDescent="0.25">
      <c r="A219" s="40" t="s">
        <v>34</v>
      </c>
      <c r="B219" s="40" t="s">
        <v>69</v>
      </c>
      <c r="C219" s="40"/>
      <c r="D219" s="40"/>
      <c r="E219" s="40"/>
      <c r="F219" s="40"/>
      <c r="G219" s="40"/>
    </row>
    <row r="220" spans="1:7" x14ac:dyDescent="0.25">
      <c r="A220" s="40"/>
      <c r="B220" s="40" t="s">
        <v>282</v>
      </c>
      <c r="C220" s="40"/>
      <c r="D220" s="40"/>
      <c r="E220" s="40"/>
      <c r="F220" s="40"/>
      <c r="G220" s="40"/>
    </row>
    <row r="224" spans="1:7" ht="20.25" customHeight="1" x14ac:dyDescent="0.25">
      <c r="A224" s="4" t="s">
        <v>70</v>
      </c>
    </row>
    <row r="225" spans="1:17" ht="24.75" customHeight="1" x14ac:dyDescent="0.25"/>
    <row r="226" spans="1:17" ht="15" customHeight="1" x14ac:dyDescent="0.25"/>
    <row r="228" spans="1:17" ht="15" customHeight="1" x14ac:dyDescent="0.25"/>
    <row r="230" spans="1:17" ht="15" customHeight="1" x14ac:dyDescent="0.25"/>
    <row r="232" spans="1:17" ht="15" customHeight="1" x14ac:dyDescent="0.25"/>
    <row r="235" spans="1:17" x14ac:dyDescent="0.25">
      <c r="A235" s="4" t="s">
        <v>71</v>
      </c>
      <c r="B235" s="4" t="s">
        <v>72</v>
      </c>
    </row>
    <row r="236" spans="1:17" x14ac:dyDescent="0.25">
      <c r="A236" s="4" t="s">
        <v>73</v>
      </c>
      <c r="B236" s="4" t="s">
        <v>74</v>
      </c>
    </row>
    <row r="237" spans="1:17" ht="15" customHeight="1" x14ac:dyDescent="0.25">
      <c r="A237" s="4" t="s">
        <v>75</v>
      </c>
      <c r="B237" s="4" t="s">
        <v>76</v>
      </c>
    </row>
    <row r="238" spans="1:17" x14ac:dyDescent="0.25">
      <c r="A238" s="4" t="s">
        <v>77</v>
      </c>
      <c r="B238" s="4" t="s">
        <v>78</v>
      </c>
    </row>
    <row r="240" spans="1:17" x14ac:dyDescent="0.25">
      <c r="A240" s="315" t="str">
        <f>'Analyses descriptives'!C$19</f>
        <v xml:space="preserve">Score d'attention sélective (G) </v>
      </c>
      <c r="B240" s="315"/>
      <c r="C240" s="315"/>
      <c r="D240" s="315"/>
      <c r="E240" s="315"/>
      <c r="G240" s="316" t="str">
        <f>'Analyses descriptives'!D$19</f>
        <v xml:space="preserve">Score d'attention sélective (U) </v>
      </c>
      <c r="H240" s="316"/>
      <c r="I240" s="316"/>
      <c r="J240" s="316"/>
      <c r="K240" s="316"/>
      <c r="M240" s="321" t="str">
        <f>'Analyses descriptives'!E$19</f>
        <v>Note standard Equilibre</v>
      </c>
      <c r="N240" s="321"/>
      <c r="O240" s="321"/>
      <c r="P240" s="321"/>
      <c r="Q240" s="321"/>
    </row>
    <row r="241" spans="1:17" ht="15.75" thickBot="1" x14ac:dyDescent="0.3"/>
    <row r="242" spans="1:17" x14ac:dyDescent="0.25">
      <c r="A242" s="58" t="s">
        <v>71</v>
      </c>
      <c r="B242" s="59"/>
      <c r="C242" s="59"/>
      <c r="D242" s="60" t="s">
        <v>75</v>
      </c>
      <c r="E242" s="61"/>
      <c r="G242" s="58" t="s">
        <v>71</v>
      </c>
      <c r="H242" s="59"/>
      <c r="I242" s="59"/>
      <c r="J242" s="60" t="s">
        <v>75</v>
      </c>
      <c r="K242" s="61"/>
      <c r="M242" s="58" t="s">
        <v>71</v>
      </c>
      <c r="N242" s="59"/>
      <c r="O242" s="59"/>
      <c r="P242" s="60" t="s">
        <v>75</v>
      </c>
      <c r="Q242" s="61"/>
    </row>
    <row r="243" spans="1:17" x14ac:dyDescent="0.25">
      <c r="A243" s="62" t="s">
        <v>73</v>
      </c>
      <c r="D243" s="47" t="s">
        <v>77</v>
      </c>
      <c r="E243" s="63"/>
      <c r="G243" s="62" t="s">
        <v>73</v>
      </c>
      <c r="J243" s="47" t="s">
        <v>77</v>
      </c>
      <c r="K243" s="63"/>
      <c r="M243" s="62" t="s">
        <v>73</v>
      </c>
      <c r="P243" s="47" t="s">
        <v>77</v>
      </c>
      <c r="Q243" s="63"/>
    </row>
    <row r="244" spans="1:17" x14ac:dyDescent="0.25">
      <c r="A244" s="62"/>
      <c r="E244" s="63"/>
      <c r="G244" s="62"/>
      <c r="K244" s="63"/>
      <c r="M244" s="62"/>
      <c r="Q244" s="63"/>
    </row>
    <row r="245" spans="1:17" x14ac:dyDescent="0.25">
      <c r="A245" s="62" t="s">
        <v>79</v>
      </c>
      <c r="B245" s="4">
        <f>(B242*B243)+(B242*(B242+1)/2)-E242</f>
        <v>0</v>
      </c>
      <c r="E245" s="63"/>
      <c r="G245" s="62" t="s">
        <v>79</v>
      </c>
      <c r="H245" s="4">
        <f>(H242*H243)+(H242*(H242+1)/2)-K242</f>
        <v>0</v>
      </c>
      <c r="K245" s="63"/>
      <c r="M245" s="62" t="s">
        <v>79</v>
      </c>
      <c r="N245" s="4">
        <f>(N242*N243)+(N242*(N242+1)/2)-Q242</f>
        <v>0</v>
      </c>
      <c r="Q245" s="63"/>
    </row>
    <row r="246" spans="1:17" ht="15.75" thickBot="1" x14ac:dyDescent="0.3">
      <c r="A246" s="64" t="s">
        <v>80</v>
      </c>
      <c r="B246" s="4">
        <f>(B242*B243)+(B243*(B243+1)/2)-E243</f>
        <v>0</v>
      </c>
      <c r="C246" s="34"/>
      <c r="D246" s="34"/>
      <c r="E246" s="65"/>
      <c r="G246" s="64" t="s">
        <v>80</v>
      </c>
      <c r="H246" s="4">
        <f>(H242*H243)+(H243*(H243+1)/2)-K243</f>
        <v>0</v>
      </c>
      <c r="I246" s="34"/>
      <c r="J246" s="34"/>
      <c r="K246" s="65"/>
      <c r="M246" s="64" t="s">
        <v>80</v>
      </c>
      <c r="N246" s="4">
        <f>(N242*N243)+(N243*(N243+1)/2)-Q243</f>
        <v>0</v>
      </c>
      <c r="O246" s="34"/>
      <c r="P246" s="34"/>
      <c r="Q246" s="65"/>
    </row>
    <row r="247" spans="1:17" x14ac:dyDescent="0.25">
      <c r="A247" s="58"/>
      <c r="B247" s="59"/>
      <c r="C247" s="59"/>
      <c r="D247" s="59"/>
      <c r="E247" s="61"/>
      <c r="G247" s="58"/>
      <c r="H247" s="59"/>
      <c r="I247" s="59"/>
      <c r="J247" s="59"/>
      <c r="K247" s="61"/>
      <c r="M247" s="58"/>
      <c r="N247" s="59"/>
      <c r="O247" s="59"/>
      <c r="P247" s="59"/>
      <c r="Q247" s="61"/>
    </row>
    <row r="248" spans="1:17" x14ac:dyDescent="0.25">
      <c r="A248" s="62" t="s">
        <v>81</v>
      </c>
      <c r="B248" s="47">
        <f>MIN(B245:B246)</f>
        <v>0</v>
      </c>
      <c r="E248" s="63" t="s">
        <v>82</v>
      </c>
      <c r="G248" s="62" t="s">
        <v>81</v>
      </c>
      <c r="H248" s="47">
        <f>MIN(H245:H246)</f>
        <v>0</v>
      </c>
      <c r="K248" s="63" t="s">
        <v>82</v>
      </c>
      <c r="M248" s="62" t="s">
        <v>81</v>
      </c>
      <c r="N248" s="47">
        <f>MIN(N245:N246)</f>
        <v>0</v>
      </c>
      <c r="Q248" s="63" t="s">
        <v>82</v>
      </c>
    </row>
    <row r="249" spans="1:17" x14ac:dyDescent="0.25">
      <c r="A249" s="62" t="s">
        <v>83</v>
      </c>
      <c r="B249" s="47"/>
      <c r="E249" s="63" t="s">
        <v>84</v>
      </c>
      <c r="G249" s="62" t="s">
        <v>83</v>
      </c>
      <c r="H249" s="47"/>
      <c r="K249" s="63" t="s">
        <v>84</v>
      </c>
      <c r="M249" s="62" t="s">
        <v>83</v>
      </c>
      <c r="N249" s="47"/>
      <c r="Q249" s="63" t="s">
        <v>84</v>
      </c>
    </row>
    <row r="250" spans="1:17" ht="15.75" thickBot="1" x14ac:dyDescent="0.3">
      <c r="A250" s="66"/>
      <c r="B250" s="34"/>
      <c r="C250" s="34"/>
      <c r="D250" s="34"/>
      <c r="E250" s="65"/>
      <c r="G250" s="66"/>
      <c r="H250" s="34"/>
      <c r="I250" s="34"/>
      <c r="J250" s="34"/>
      <c r="K250" s="65"/>
      <c r="M250" s="66"/>
      <c r="N250" s="34"/>
      <c r="O250" s="34"/>
      <c r="P250" s="34"/>
      <c r="Q250" s="65"/>
    </row>
    <row r="252" spans="1:17" ht="17.25" x14ac:dyDescent="0.3">
      <c r="A252" s="67" t="s">
        <v>255</v>
      </c>
      <c r="G252" s="67" t="s">
        <v>255</v>
      </c>
      <c r="M252" s="67" t="s">
        <v>255</v>
      </c>
    </row>
    <row r="253" spans="1:17" ht="17.25" x14ac:dyDescent="0.3">
      <c r="A253" s="274" t="str">
        <f>IF(ABS(B248)&lt;=B249,"Résultat significatif","Résultat non significatif")</f>
        <v>Résultat significatif</v>
      </c>
      <c r="B253" s="275"/>
      <c r="C253" s="275"/>
      <c r="D253" s="275"/>
      <c r="E253" s="275"/>
      <c r="G253" s="274" t="str">
        <f>IF(ABS(H248)&lt;=H249,"Résultat significatif","Résultat non significatif")</f>
        <v>Résultat significatif</v>
      </c>
      <c r="H253" s="275"/>
      <c r="I253" s="275"/>
      <c r="J253" s="275"/>
      <c r="K253" s="275"/>
      <c r="M253" s="274" t="str">
        <f>IF(ABS(N248)&lt;=N249,"Résultat significatif","Résultat non significatif")</f>
        <v>Résultat significatif</v>
      </c>
      <c r="N253" s="275"/>
      <c r="O253" s="275"/>
      <c r="P253" s="275"/>
      <c r="Q253" s="275"/>
    </row>
    <row r="254" spans="1:17" ht="17.25" x14ac:dyDescent="0.3">
      <c r="A254" s="68" t="str">
        <f>IF(B248&lt;=B249,"H0 peut être rejetée",B216)</f>
        <v>H0 peut être rejetée</v>
      </c>
      <c r="G254" s="68" t="str">
        <f>IF(H248&lt;=H249,"H0 peut être rejetée",H216)</f>
        <v>H0 peut être rejetée</v>
      </c>
      <c r="M254" s="68" t="str">
        <f>IF(N248&lt;=N249,"H0 peut être rejetée",N216)</f>
        <v>H0 peut être rejetée</v>
      </c>
    </row>
    <row r="255" spans="1:17" ht="16.5" x14ac:dyDescent="0.25">
      <c r="A255" s="1" t="str">
        <f>IF(B248&lt;=B249,$B$220,$B$217)</f>
        <v>Donc il y a un effet significatif des conditions de naissance (à terme - préma) sur les performances</v>
      </c>
      <c r="G255" s="324" t="str">
        <f>IF(H248&lt;=H249,$B$220,$B$217)</f>
        <v>Donc il y a un effet significatif des conditions de naissance (à terme - préma) sur les performances</v>
      </c>
      <c r="H255" s="324"/>
      <c r="I255" s="324"/>
      <c r="J255" s="324"/>
      <c r="K255" s="324"/>
      <c r="M255" s="324" t="str">
        <f>IF(N248&lt;=N249,$B$220,$B$217)</f>
        <v>Donc il y a un effet significatif des conditions de naissance (à terme - préma) sur les performances</v>
      </c>
      <c r="N255" s="324"/>
      <c r="O255" s="324"/>
      <c r="P255" s="324"/>
      <c r="Q255" s="324"/>
    </row>
    <row r="256" spans="1:17" x14ac:dyDescent="0.25">
      <c r="G256" s="324"/>
      <c r="H256" s="324"/>
      <c r="I256" s="324"/>
      <c r="J256" s="324"/>
      <c r="K256" s="324"/>
      <c r="M256" s="324"/>
      <c r="N256" s="324"/>
      <c r="O256" s="324"/>
      <c r="P256" s="324"/>
      <c r="Q256" s="324"/>
    </row>
    <row r="258" spans="1:9" x14ac:dyDescent="0.25">
      <c r="A258" s="312" t="s">
        <v>85</v>
      </c>
      <c r="B258" s="312"/>
      <c r="C258" s="312"/>
      <c r="D258" s="312"/>
      <c r="E258" s="312"/>
      <c r="F258" s="312"/>
    </row>
    <row r="259" spans="1:9" x14ac:dyDescent="0.25">
      <c r="A259" s="312"/>
      <c r="B259" s="312"/>
      <c r="C259" s="312"/>
      <c r="D259" s="312"/>
      <c r="E259" s="312"/>
      <c r="F259" s="312"/>
    </row>
    <row r="260" spans="1:9" x14ac:dyDescent="0.25">
      <c r="A260" s="312"/>
      <c r="B260" s="312"/>
      <c r="C260" s="312"/>
      <c r="D260" s="312"/>
      <c r="E260" s="312"/>
      <c r="F260" s="312"/>
    </row>
    <row r="261" spans="1:9" x14ac:dyDescent="0.25">
      <c r="A261" s="312"/>
      <c r="B261" s="312"/>
      <c r="C261" s="312"/>
      <c r="D261" s="312"/>
      <c r="E261" s="312"/>
      <c r="F261" s="312"/>
    </row>
    <row r="264" spans="1:9" ht="21" x14ac:dyDescent="0.35">
      <c r="A264" s="69" t="s">
        <v>87</v>
      </c>
      <c r="B264" s="70"/>
      <c r="D264" s="70"/>
      <c r="E264" s="287" t="s">
        <v>86</v>
      </c>
      <c r="F264" s="70"/>
      <c r="G264" s="70"/>
      <c r="H264" s="70"/>
      <c r="I264" s="70"/>
    </row>
    <row r="266" spans="1:9" ht="18.75" x14ac:dyDescent="0.3">
      <c r="A266" s="326" t="s">
        <v>55</v>
      </c>
    </row>
    <row r="267" spans="1:9" ht="15" customHeight="1" x14ac:dyDescent="0.25">
      <c r="A267" s="327" t="s">
        <v>285</v>
      </c>
      <c r="B267" s="327"/>
      <c r="C267" s="327"/>
      <c r="D267" s="327"/>
    </row>
    <row r="268" spans="1:9" x14ac:dyDescent="0.25">
      <c r="A268" s="327"/>
      <c r="B268" s="327"/>
      <c r="C268" s="327"/>
      <c r="D268" s="327"/>
    </row>
    <row r="269" spans="1:9" x14ac:dyDescent="0.25">
      <c r="A269" s="327"/>
      <c r="B269" s="327"/>
      <c r="C269" s="327"/>
      <c r="D269" s="327"/>
    </row>
    <row r="270" spans="1:9" x14ac:dyDescent="0.25">
      <c r="A270" s="327"/>
      <c r="B270" s="327"/>
      <c r="C270" s="327"/>
      <c r="D270" s="327"/>
    </row>
  </sheetData>
  <sortState xmlns:xlrd2="http://schemas.microsoft.com/office/spreadsheetml/2017/richdata2" ref="R226:T235">
    <sortCondition descending="1" ref="R226:R235"/>
  </sortState>
  <mergeCells count="40">
    <mergeCell ref="A267:D270"/>
    <mergeCell ref="M240:Q240"/>
    <mergeCell ref="G255:K256"/>
    <mergeCell ref="M255:Q256"/>
    <mergeCell ref="M184:Q185"/>
    <mergeCell ref="A189:E190"/>
    <mergeCell ref="S109:W109"/>
    <mergeCell ref="S136:W136"/>
    <mergeCell ref="S165:W165"/>
    <mergeCell ref="A182:E182"/>
    <mergeCell ref="A183:E183"/>
    <mergeCell ref="M136:Q136"/>
    <mergeCell ref="A165:E165"/>
    <mergeCell ref="G165:K165"/>
    <mergeCell ref="M165:Q165"/>
    <mergeCell ref="G182:K183"/>
    <mergeCell ref="M182:Q183"/>
    <mergeCell ref="A67:E67"/>
    <mergeCell ref="G67:K67"/>
    <mergeCell ref="M67:Q67"/>
    <mergeCell ref="A109:E109"/>
    <mergeCell ref="G109:K109"/>
    <mergeCell ref="M109:Q109"/>
    <mergeCell ref="B97:G97"/>
    <mergeCell ref="B98:G98"/>
    <mergeCell ref="A258:F261"/>
    <mergeCell ref="B216:G216"/>
    <mergeCell ref="B217:G217"/>
    <mergeCell ref="A121:L121"/>
    <mergeCell ref="A197:F197"/>
    <mergeCell ref="A202:L202"/>
    <mergeCell ref="A136:E136"/>
    <mergeCell ref="G136:K136"/>
    <mergeCell ref="A215:E215"/>
    <mergeCell ref="A214:F214"/>
    <mergeCell ref="A209:F209"/>
    <mergeCell ref="G184:K185"/>
    <mergeCell ref="A184:E185"/>
    <mergeCell ref="A240:E240"/>
    <mergeCell ref="G240:K240"/>
  </mergeCells>
  <phoneticPr fontId="24" type="noConversion"/>
  <hyperlinks>
    <hyperlink ref="E264" r:id="rId1" xr:uid="{09BCD329-D1AE-4F9D-81DC-4E5D1B7C3A8E}"/>
    <hyperlink ref="B117" r:id="rId2" xr:uid="{1022D5A1-21C0-477C-889D-A50962442652}"/>
  </hyperlinks>
  <pageMargins left="0.7" right="0.7" top="0.75" bottom="0.75" header="0.3" footer="0.3"/>
  <pageSetup paperSize="9" orientation="portrait" horizontalDpi="4294967293"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06383-A5A8-436F-A533-1255654A9C0A}">
  <sheetPr codeName="XLSTAT_20230621_094214_1_HID"/>
  <dimension ref="A1:H70"/>
  <sheetViews>
    <sheetView workbookViewId="0">
      <selection activeCell="E1" sqref="E1"/>
    </sheetView>
  </sheetViews>
  <sheetFormatPr baseColWidth="10" defaultRowHeight="15" x14ac:dyDescent="0.25"/>
  <sheetData>
    <row r="1" spans="1:8" x14ac:dyDescent="0.25">
      <c r="A1">
        <v>1</v>
      </c>
      <c r="C1">
        <f t="shared" ref="C1:C32" si="0">3.0088+(A1-1)*0.1155246377</f>
        <v>3.0087999999999999</v>
      </c>
      <c r="D1">
        <f t="shared" ref="D1:D32" si="1">0+1*C1-1.41775157986048*(1.05555555555556+(C1-4.86444444444444)^2/41.8977873015874)^0.5</f>
        <v>1.4965556451249036</v>
      </c>
      <c r="E1">
        <v>1</v>
      </c>
      <c r="G1">
        <f t="shared" ref="G1:G32" si="2">2.596+(E1-1)*0.1215072464</f>
        <v>2.5960000000000001</v>
      </c>
      <c r="H1">
        <f t="shared" ref="H1:H32" si="3">0+1*G1+1.41775157986048*(1.05555555555556+(G1-4.86444444444444)^2/41.8977873015874)^0.5</f>
        <v>4.1350112689741447</v>
      </c>
    </row>
    <row r="2" spans="1:8" x14ac:dyDescent="0.25">
      <c r="A2">
        <v>2</v>
      </c>
      <c r="C2">
        <f t="shared" si="0"/>
        <v>3.1243246377</v>
      </c>
      <c r="D2">
        <f t="shared" si="1"/>
        <v>1.618683754159572</v>
      </c>
      <c r="E2">
        <v>2</v>
      </c>
      <c r="G2">
        <f t="shared" si="2"/>
        <v>2.7175072464000003</v>
      </c>
      <c r="H2">
        <f t="shared" si="3"/>
        <v>4.2481337195285924</v>
      </c>
    </row>
    <row r="3" spans="1:8" x14ac:dyDescent="0.25">
      <c r="A3">
        <v>3</v>
      </c>
      <c r="C3">
        <f t="shared" si="0"/>
        <v>3.2398492754000001</v>
      </c>
      <c r="D3">
        <f t="shared" si="1"/>
        <v>1.7404138891374867</v>
      </c>
      <c r="E3">
        <v>3</v>
      </c>
      <c r="G3">
        <f t="shared" si="2"/>
        <v>2.8390144928000001</v>
      </c>
      <c r="H3">
        <f t="shared" si="3"/>
        <v>4.3616752240244772</v>
      </c>
    </row>
    <row r="4" spans="1:8" x14ac:dyDescent="0.25">
      <c r="A4">
        <v>4</v>
      </c>
      <c r="C4">
        <f t="shared" si="0"/>
        <v>3.3553739130999998</v>
      </c>
      <c r="D4">
        <f t="shared" si="1"/>
        <v>1.861741089741116</v>
      </c>
      <c r="E4">
        <v>4</v>
      </c>
      <c r="G4">
        <f t="shared" si="2"/>
        <v>2.9605217392000003</v>
      </c>
      <c r="H4">
        <f t="shared" si="3"/>
        <v>4.4756423920004202</v>
      </c>
    </row>
    <row r="5" spans="1:8" x14ac:dyDescent="0.25">
      <c r="A5">
        <v>5</v>
      </c>
      <c r="C5">
        <f t="shared" si="0"/>
        <v>3.4708985507999999</v>
      </c>
      <c r="D5">
        <f t="shared" si="1"/>
        <v>1.9826606429019191</v>
      </c>
      <c r="E5">
        <v>5</v>
      </c>
      <c r="G5">
        <f t="shared" si="2"/>
        <v>3.0820289856</v>
      </c>
      <c r="H5">
        <f t="shared" si="3"/>
        <v>4.5900416084351026</v>
      </c>
    </row>
    <row r="6" spans="1:8" x14ac:dyDescent="0.25">
      <c r="A6">
        <v>6</v>
      </c>
      <c r="C6">
        <f t="shared" si="0"/>
        <v>3.5864231885</v>
      </c>
      <c r="D6">
        <f t="shared" si="1"/>
        <v>2.103168100510854</v>
      </c>
      <c r="E6">
        <v>6</v>
      </c>
      <c r="G6">
        <f t="shared" si="2"/>
        <v>3.2035362320000003</v>
      </c>
      <c r="H6">
        <f t="shared" si="3"/>
        <v>4.7048790098745146</v>
      </c>
    </row>
    <row r="7" spans="1:8" x14ac:dyDescent="0.25">
      <c r="A7">
        <v>7</v>
      </c>
      <c r="C7">
        <f t="shared" si="0"/>
        <v>3.7019478262000001</v>
      </c>
      <c r="D7">
        <f t="shared" si="1"/>
        <v>2.223259296577373</v>
      </c>
      <c r="E7">
        <v>7</v>
      </c>
      <c r="G7">
        <f t="shared" si="2"/>
        <v>3.3250434784</v>
      </c>
      <c r="H7">
        <f t="shared" si="3"/>
        <v>4.8201604606727058</v>
      </c>
    </row>
    <row r="8" spans="1:8" x14ac:dyDescent="0.25">
      <c r="A8">
        <v>8</v>
      </c>
      <c r="C8">
        <f t="shared" si="0"/>
        <v>3.8174724638999997</v>
      </c>
      <c r="D8">
        <f t="shared" si="1"/>
        <v>2.3429303636938466</v>
      </c>
      <c r="E8">
        <v>8</v>
      </c>
      <c r="G8">
        <f t="shared" si="2"/>
        <v>3.4465507248000002</v>
      </c>
      <c r="H8">
        <f t="shared" si="3"/>
        <v>4.9358915295330359</v>
      </c>
    </row>
    <row r="9" spans="1:8" x14ac:dyDescent="0.25">
      <c r="A9">
        <v>9</v>
      </c>
      <c r="C9">
        <f t="shared" si="0"/>
        <v>3.9329971015999998</v>
      </c>
      <c r="D9">
        <f t="shared" si="1"/>
        <v>2.4621777486629277</v>
      </c>
      <c r="E9">
        <v>9</v>
      </c>
      <c r="G9">
        <f t="shared" si="2"/>
        <v>3.5680579712</v>
      </c>
      <c r="H9">
        <f t="shared" si="3"/>
        <v>5.0520774665449135</v>
      </c>
    </row>
    <row r="10" spans="1:8" x14ac:dyDescent="0.25">
      <c r="A10">
        <v>10</v>
      </c>
      <c r="C10">
        <f t="shared" si="0"/>
        <v>4.0485217392999999</v>
      </c>
      <c r="D10">
        <f t="shared" si="1"/>
        <v>2.5809982271479504</v>
      </c>
      <c r="E10">
        <v>10</v>
      </c>
      <c r="G10">
        <f t="shared" si="2"/>
        <v>3.6895652176000002</v>
      </c>
      <c r="H10">
        <f t="shared" si="3"/>
        <v>5.1687231809166381</v>
      </c>
    </row>
    <row r="11" spans="1:8" x14ac:dyDescent="0.25">
      <c r="A11">
        <v>11</v>
      </c>
      <c r="C11">
        <f t="shared" si="0"/>
        <v>4.164046377</v>
      </c>
      <c r="D11">
        <f t="shared" si="1"/>
        <v>2.6993889172112091</v>
      </c>
      <c r="E11">
        <v>11</v>
      </c>
      <c r="G11">
        <f t="shared" si="2"/>
        <v>3.8110724640000004</v>
      </c>
      <c r="H11">
        <f t="shared" si="3"/>
        <v>5.2858332196077011</v>
      </c>
    </row>
    <row r="12" spans="1:8" x14ac:dyDescent="0.25">
      <c r="A12">
        <v>12</v>
      </c>
      <c r="C12">
        <f t="shared" si="0"/>
        <v>4.2795710147000001</v>
      </c>
      <c r="D12">
        <f t="shared" si="1"/>
        <v>2.8173472916118314</v>
      </c>
      <c r="E12">
        <v>12</v>
      </c>
      <c r="G12">
        <f t="shared" si="2"/>
        <v>3.9325797104000002</v>
      </c>
      <c r="H12">
        <f t="shared" si="3"/>
        <v>5.4034117470637693</v>
      </c>
    </row>
    <row r="13" spans="1:8" x14ac:dyDescent="0.25">
      <c r="A13">
        <v>13</v>
      </c>
      <c r="C13">
        <f t="shared" si="0"/>
        <v>4.3950956524000002</v>
      </c>
      <c r="D13">
        <f t="shared" si="1"/>
        <v>2.9348711887439132</v>
      </c>
      <c r="E13">
        <v>13</v>
      </c>
      <c r="G13">
        <f t="shared" si="2"/>
        <v>4.0540869568</v>
      </c>
      <c r="H13">
        <f t="shared" si="3"/>
        <v>5.5214625262540888</v>
      </c>
    </row>
    <row r="14" spans="1:8" x14ac:dyDescent="0.25">
      <c r="A14">
        <v>14</v>
      </c>
      <c r="C14">
        <f t="shared" si="0"/>
        <v>4.5106202901000003</v>
      </c>
      <c r="D14">
        <f t="shared" si="1"/>
        <v>3.0519588221066232</v>
      </c>
      <c r="E14">
        <v>14</v>
      </c>
      <c r="G14">
        <f t="shared" si="2"/>
        <v>4.1755942032000002</v>
      </c>
      <c r="H14">
        <f t="shared" si="3"/>
        <v>5.6399889012043509</v>
      </c>
    </row>
    <row r="15" spans="1:8" x14ac:dyDescent="0.25">
      <c r="A15">
        <v>15</v>
      </c>
      <c r="C15">
        <f t="shared" si="0"/>
        <v>4.6261449278000004</v>
      </c>
      <c r="D15">
        <f t="shared" si="1"/>
        <v>3.1686087882108342</v>
      </c>
      <c r="E15">
        <v>15</v>
      </c>
      <c r="G15">
        <f t="shared" si="2"/>
        <v>4.2971014496000004</v>
      </c>
      <c r="H15">
        <f t="shared" si="3"/>
        <v>5.7589937812079466</v>
      </c>
    </row>
    <row r="16" spans="1:8" x14ac:dyDescent="0.25">
      <c r="A16">
        <v>16</v>
      </c>
      <c r="C16">
        <f t="shared" si="0"/>
        <v>4.7416695654999996</v>
      </c>
      <c r="D16">
        <f t="shared" si="1"/>
        <v>3.2848200728414785</v>
      </c>
      <c r="E16">
        <v>16</v>
      </c>
      <c r="G16">
        <f t="shared" si="2"/>
        <v>4.4186086959999997</v>
      </c>
      <c r="H16">
        <f t="shared" si="3"/>
        <v>5.8784796268850927</v>
      </c>
    </row>
    <row r="17" spans="1:8" x14ac:dyDescent="0.25">
      <c r="A17">
        <v>17</v>
      </c>
      <c r="C17">
        <f t="shared" si="0"/>
        <v>4.8571942031999997</v>
      </c>
      <c r="D17">
        <f t="shared" si="1"/>
        <v>3.4005920556108586</v>
      </c>
      <c r="E17">
        <v>17</v>
      </c>
      <c r="G17">
        <f t="shared" si="2"/>
        <v>4.5401159423999999</v>
      </c>
      <c r="H17">
        <f t="shared" si="3"/>
        <v>5.9984484382427068</v>
      </c>
    </row>
    <row r="18" spans="1:8" x14ac:dyDescent="0.25">
      <c r="A18">
        <v>18</v>
      </c>
      <c r="C18">
        <f t="shared" si="0"/>
        <v>4.9727188408999998</v>
      </c>
      <c r="D18">
        <f t="shared" si="1"/>
        <v>3.5159245127554217</v>
      </c>
      <c r="E18">
        <v>18</v>
      </c>
      <c r="G18">
        <f t="shared" si="2"/>
        <v>4.6616231888000002</v>
      </c>
      <c r="H18">
        <f t="shared" si="3"/>
        <v>6.1189017448683494</v>
      </c>
    </row>
    <row r="19" spans="1:8" x14ac:dyDescent="0.25">
      <c r="A19">
        <v>19</v>
      </c>
      <c r="C19">
        <f t="shared" si="0"/>
        <v>5.0882434785999999</v>
      </c>
      <c r="D19">
        <f t="shared" si="1"/>
        <v>3.630817618146668</v>
      </c>
      <c r="E19">
        <v>19</v>
      </c>
      <c r="G19">
        <f t="shared" si="2"/>
        <v>4.7831304352000004</v>
      </c>
      <c r="H19">
        <f t="shared" si="3"/>
        <v>6.2398405983693284</v>
      </c>
    </row>
    <row r="20" spans="1:8" x14ac:dyDescent="0.25">
      <c r="A20">
        <v>20</v>
      </c>
      <c r="C20">
        <f t="shared" si="0"/>
        <v>5.2037681163</v>
      </c>
      <c r="D20">
        <f t="shared" si="1"/>
        <v>3.7452719425055454</v>
      </c>
      <c r="E20">
        <v>20</v>
      </c>
      <c r="G20">
        <f t="shared" si="2"/>
        <v>4.9046376816000006</v>
      </c>
      <c r="H20">
        <f t="shared" si="3"/>
        <v>6.3612655671436258</v>
      </c>
    </row>
    <row r="21" spans="1:8" x14ac:dyDescent="0.25">
      <c r="A21">
        <v>21</v>
      </c>
      <c r="C21">
        <f t="shared" si="0"/>
        <v>5.3192927540000001</v>
      </c>
      <c r="D21">
        <f t="shared" si="1"/>
        <v>3.8592884508286023</v>
      </c>
      <c r="E21">
        <v>21</v>
      </c>
      <c r="G21">
        <f t="shared" si="2"/>
        <v>5.0261449280000008</v>
      </c>
      <c r="H21">
        <f t="shared" si="3"/>
        <v>6.4831767335430701</v>
      </c>
    </row>
    <row r="22" spans="1:8" x14ac:dyDescent="0.25">
      <c r="A22">
        <v>22</v>
      </c>
      <c r="C22">
        <f t="shared" si="0"/>
        <v>5.4348173916999993</v>
      </c>
      <c r="D22">
        <f t="shared" si="1"/>
        <v>3.9728684980529128</v>
      </c>
      <c r="E22">
        <v>22</v>
      </c>
      <c r="G22">
        <f t="shared" si="2"/>
        <v>5.1476521744000001</v>
      </c>
      <c r="H22">
        <f t="shared" si="3"/>
        <v>6.6055736934617162</v>
      </c>
    </row>
    <row r="23" spans="1:8" x14ac:dyDescent="0.25">
      <c r="A23">
        <v>23</v>
      </c>
      <c r="C23">
        <f t="shared" si="0"/>
        <v>5.5503420293999994</v>
      </c>
      <c r="D23">
        <f t="shared" si="1"/>
        <v>4.086013823005036</v>
      </c>
      <c r="E23">
        <v>23</v>
      </c>
      <c r="G23">
        <f t="shared" si="2"/>
        <v>5.2691594208000003</v>
      </c>
      <c r="H23">
        <f t="shared" si="3"/>
        <v>6.7284555583542236</v>
      </c>
    </row>
    <row r="24" spans="1:8" x14ac:dyDescent="0.25">
      <c r="A24">
        <v>24</v>
      </c>
      <c r="C24">
        <f t="shared" si="0"/>
        <v>5.6658666670999995</v>
      </c>
      <c r="D24">
        <f t="shared" si="1"/>
        <v>4.1987265406966463</v>
      </c>
      <c r="E24">
        <v>24</v>
      </c>
      <c r="G24">
        <f t="shared" si="2"/>
        <v>5.3906666671999997</v>
      </c>
      <c r="H24">
        <f t="shared" si="3"/>
        <v>6.8518209596607402</v>
      </c>
    </row>
    <row r="25" spans="1:8" x14ac:dyDescent="0.25">
      <c r="A25">
        <v>25</v>
      </c>
      <c r="C25">
        <f t="shared" si="0"/>
        <v>5.7813913047999996</v>
      </c>
      <c r="D25">
        <f t="shared" si="1"/>
        <v>4.3110091330457276</v>
      </c>
      <c r="E25">
        <v>25</v>
      </c>
      <c r="G25">
        <f t="shared" si="2"/>
        <v>5.5121739135999999</v>
      </c>
      <c r="H25">
        <f t="shared" si="3"/>
        <v>6.9756680555870947</v>
      </c>
    </row>
    <row r="26" spans="1:8" x14ac:dyDescent="0.25">
      <c r="A26">
        <v>26</v>
      </c>
      <c r="C26">
        <f t="shared" si="0"/>
        <v>5.8969159424999997</v>
      </c>
      <c r="D26">
        <f t="shared" si="1"/>
        <v>4.422864438117001</v>
      </c>
      <c r="E26">
        <v>26</v>
      </c>
      <c r="G26">
        <f t="shared" si="2"/>
        <v>5.6336811600000001</v>
      </c>
      <c r="H26">
        <f t="shared" si="3"/>
        <v>7.0999945401622906</v>
      </c>
    </row>
    <row r="27" spans="1:8" x14ac:dyDescent="0.25">
      <c r="A27">
        <v>27</v>
      </c>
      <c r="C27">
        <f t="shared" si="0"/>
        <v>6.0124405801999998</v>
      </c>
      <c r="D27">
        <f t="shared" si="1"/>
        <v>4.5342956379883921</v>
      </c>
      <c r="E27">
        <v>27</v>
      </c>
      <c r="G27">
        <f t="shared" si="2"/>
        <v>5.7551884064000003</v>
      </c>
      <c r="H27">
        <f t="shared" si="3"/>
        <v>7.2247976544702848</v>
      </c>
    </row>
    <row r="28" spans="1:8" x14ac:dyDescent="0.25">
      <c r="A28">
        <v>28</v>
      </c>
      <c r="C28">
        <f t="shared" si="0"/>
        <v>6.1279652178999999</v>
      </c>
      <c r="D28">
        <f t="shared" si="1"/>
        <v>4.6453062453615601</v>
      </c>
      <c r="E28">
        <v>28</v>
      </c>
      <c r="G28">
        <f t="shared" si="2"/>
        <v>5.8766956528000005</v>
      </c>
      <c r="H28">
        <f t="shared" si="3"/>
        <v>7.3500741999299537</v>
      </c>
    </row>
    <row r="29" spans="1:8" x14ac:dyDescent="0.25">
      <c r="A29">
        <v>29</v>
      </c>
      <c r="C29">
        <f t="shared" si="0"/>
        <v>6.2434898556</v>
      </c>
      <c r="D29">
        <f t="shared" si="1"/>
        <v>4.7559000890437986</v>
      </c>
      <c r="E29">
        <v>29</v>
      </c>
      <c r="G29">
        <f t="shared" si="2"/>
        <v>5.9982028992000007</v>
      </c>
      <c r="H29">
        <f t="shared" si="3"/>
        <v>7.4758205534766953</v>
      </c>
    </row>
    <row r="30" spans="1:8" x14ac:dyDescent="0.25">
      <c r="A30">
        <v>30</v>
      </c>
      <c r="C30">
        <f t="shared" si="0"/>
        <v>6.3590144933000001</v>
      </c>
      <c r="D30">
        <f t="shared" si="1"/>
        <v>4.8660812984356987</v>
      </c>
      <c r="E30">
        <v>30</v>
      </c>
      <c r="G30">
        <f t="shared" si="2"/>
        <v>6.1197101456</v>
      </c>
      <c r="H30">
        <f t="shared" si="3"/>
        <v>7.6020326844814248</v>
      </c>
    </row>
    <row r="31" spans="1:8" x14ac:dyDescent="0.25">
      <c r="A31">
        <v>31</v>
      </c>
      <c r="C31">
        <f t="shared" si="0"/>
        <v>6.4745391310000002</v>
      </c>
      <c r="D31">
        <f t="shared" si="1"/>
        <v>4.9758542871640001</v>
      </c>
      <c r="E31">
        <v>31</v>
      </c>
      <c r="G31">
        <f t="shared" si="2"/>
        <v>6.2412173920000003</v>
      </c>
      <c r="H31">
        <f t="shared" si="3"/>
        <v>7.728706173228252</v>
      </c>
    </row>
    <row r="32" spans="1:8" x14ac:dyDescent="0.25">
      <c r="A32">
        <v>32</v>
      </c>
      <c r="C32">
        <f t="shared" si="0"/>
        <v>6.5900637687000003</v>
      </c>
      <c r="D32">
        <f t="shared" si="1"/>
        <v>5.0852237360019243</v>
      </c>
      <c r="E32">
        <v>32</v>
      </c>
      <c r="G32">
        <f t="shared" si="2"/>
        <v>6.3627246383999996</v>
      </c>
      <c r="H32">
        <f t="shared" si="3"/>
        <v>7.8558362307608203</v>
      </c>
    </row>
    <row r="33" spans="1:8" x14ac:dyDescent="0.25">
      <c r="A33">
        <v>33</v>
      </c>
      <c r="C33">
        <f t="shared" ref="C33:C64" si="4">3.0088+(A33-1)*0.1155246377</f>
        <v>6.7055884064000004</v>
      </c>
      <c r="D33">
        <f t="shared" ref="D33:D64" si="5">0+1*C33-1.41775157986048*(1.05555555555556+(C33-4.86444444444444)^2/41.8977873015874)^0.5</f>
        <v>5.194194575220064</v>
      </c>
      <c r="E33">
        <v>33</v>
      </c>
      <c r="G33">
        <f t="shared" ref="G33:G64" si="6">2.596+(E33-1)*0.1215072464</f>
        <v>6.4842318847999998</v>
      </c>
      <c r="H33">
        <f t="shared" ref="H33:H64" si="7">0+1*G33+1.41775157986048*(1.05555555555556+(G33-4.86444444444444)^2/41.8977873015874)^0.5</f>
        <v>7.9834177198994878</v>
      </c>
    </row>
    <row r="34" spans="1:8" x14ac:dyDescent="0.25">
      <c r="A34">
        <v>34</v>
      </c>
      <c r="C34">
        <f t="shared" si="4"/>
        <v>6.8211130441000005</v>
      </c>
      <c r="D34">
        <f t="shared" si="5"/>
        <v>5.3027719665097939</v>
      </c>
      <c r="E34">
        <v>34</v>
      </c>
      <c r="G34">
        <f t="shared" si="6"/>
        <v>6.6057391312</v>
      </c>
      <c r="H34">
        <f t="shared" si="7"/>
        <v>8.1114451772268978</v>
      </c>
    </row>
    <row r="35" spans="1:8" x14ac:dyDescent="0.25">
      <c r="A35">
        <v>35</v>
      </c>
      <c r="C35">
        <f t="shared" si="4"/>
        <v>6.9366376818000006</v>
      </c>
      <c r="D35">
        <f t="shared" si="5"/>
        <v>5.4109612846181401</v>
      </c>
      <c r="E35">
        <v>35</v>
      </c>
      <c r="G35">
        <f t="shared" si="6"/>
        <v>6.7272463776000002</v>
      </c>
      <c r="H35">
        <f t="shared" si="7"/>
        <v>8.2399128358383269</v>
      </c>
    </row>
    <row r="36" spans="1:8" x14ac:dyDescent="0.25">
      <c r="A36">
        <v>36</v>
      </c>
      <c r="C36">
        <f t="shared" si="4"/>
        <v>7.0521623194999998</v>
      </c>
      <c r="D36">
        <f t="shared" si="5"/>
        <v>5.5187680988284651</v>
      </c>
      <c r="E36">
        <v>36</v>
      </c>
      <c r="G36">
        <f t="shared" si="6"/>
        <v>6.8487536240000004</v>
      </c>
      <c r="H36">
        <f t="shared" si="7"/>
        <v>8.3688146486549098</v>
      </c>
    </row>
    <row r="37" spans="1:8" x14ac:dyDescent="0.25">
      <c r="A37">
        <v>37</v>
      </c>
      <c r="C37">
        <f t="shared" si="4"/>
        <v>7.1676869571999999</v>
      </c>
      <c r="D37">
        <f t="shared" si="5"/>
        <v>5.6261981544152029</v>
      </c>
      <c r="E37">
        <v>37</v>
      </c>
      <c r="G37">
        <f t="shared" si="6"/>
        <v>6.9702608704000006</v>
      </c>
      <c r="H37">
        <f t="shared" si="7"/>
        <v>8.4981443121025766</v>
      </c>
    </row>
    <row r="38" spans="1:8" x14ac:dyDescent="0.25">
      <c r="A38">
        <v>38</v>
      </c>
      <c r="C38">
        <f t="shared" si="4"/>
        <v>7.2832115949</v>
      </c>
      <c r="D38">
        <f t="shared" si="5"/>
        <v>5.7332573541935332</v>
      </c>
      <c r="E38">
        <v>38</v>
      </c>
      <c r="G38">
        <f t="shared" si="6"/>
        <v>7.0917681168</v>
      </c>
      <c r="H38">
        <f t="shared" si="7"/>
        <v>8.6278952899667285</v>
      </c>
    </row>
    <row r="39" spans="1:8" x14ac:dyDescent="0.25">
      <c r="A39">
        <v>39</v>
      </c>
      <c r="C39">
        <f t="shared" si="4"/>
        <v>7.3987362326000001</v>
      </c>
      <c r="D39">
        <f t="shared" si="5"/>
        <v>5.8399517402765682</v>
      </c>
      <c r="E39">
        <v>39</v>
      </c>
      <c r="G39">
        <f t="shared" si="6"/>
        <v>7.2132753632000002</v>
      </c>
      <c r="H39">
        <f t="shared" si="7"/>
        <v>8.7580608372422137</v>
      </c>
    </row>
    <row r="40" spans="1:8" x14ac:dyDescent="0.25">
      <c r="A40">
        <v>40</v>
      </c>
      <c r="C40">
        <f t="shared" si="4"/>
        <v>7.5142608703000002</v>
      </c>
      <c r="D40">
        <f t="shared" si="5"/>
        <v>5.9462874761433628</v>
      </c>
      <c r="E40">
        <v>40</v>
      </c>
      <c r="G40">
        <f t="shared" si="6"/>
        <v>7.3347826096000004</v>
      </c>
      <c r="H40">
        <f t="shared" si="7"/>
        <v>8.8886340238094697</v>
      </c>
    </row>
    <row r="41" spans="1:8" x14ac:dyDescent="0.25">
      <c r="A41">
        <v>41</v>
      </c>
      <c r="C41">
        <f t="shared" si="4"/>
        <v>7.6297855080000003</v>
      </c>
      <c r="D41">
        <f t="shared" si="5"/>
        <v>6.0522708291113503</v>
      </c>
      <c r="E41">
        <v>41</v>
      </c>
      <c r="G41">
        <f t="shared" si="6"/>
        <v>7.4562898560000006</v>
      </c>
      <c r="H41">
        <f t="shared" si="7"/>
        <v>9.0196077577807081</v>
      </c>
    </row>
    <row r="42" spans="1:8" x14ac:dyDescent="0.25">
      <c r="A42">
        <v>42</v>
      </c>
      <c r="C42">
        <f t="shared" si="4"/>
        <v>7.7453101457000004</v>
      </c>
      <c r="D42">
        <f t="shared" si="5"/>
        <v>6.1579081532966136</v>
      </c>
      <c r="E42">
        <v>42</v>
      </c>
      <c r="G42">
        <f t="shared" si="6"/>
        <v>7.5777971023999999</v>
      </c>
      <c r="H42">
        <f t="shared" si="7"/>
        <v>9.1509748083740021</v>
      </c>
    </row>
    <row r="43" spans="1:8" x14ac:dyDescent="0.25">
      <c r="A43">
        <v>43</v>
      </c>
      <c r="C43">
        <f t="shared" si="4"/>
        <v>7.8608347833999996</v>
      </c>
      <c r="D43">
        <f t="shared" si="5"/>
        <v>6.2632058731350639</v>
      </c>
      <c r="E43">
        <v>43</v>
      </c>
      <c r="G43">
        <f t="shared" si="6"/>
        <v>7.6993043488000001</v>
      </c>
      <c r="H43">
        <f t="shared" si="7"/>
        <v>9.282727828188106</v>
      </c>
    </row>
    <row r="44" spans="1:8" x14ac:dyDescent="0.25">
      <c r="A44">
        <v>44</v>
      </c>
      <c r="C44">
        <f t="shared" si="4"/>
        <v>7.9763594210999997</v>
      </c>
      <c r="D44">
        <f t="shared" si="5"/>
        <v>6.3681704675272481</v>
      </c>
      <c r="E44">
        <v>44</v>
      </c>
      <c r="G44">
        <f t="shared" si="6"/>
        <v>7.8208115952000004</v>
      </c>
      <c r="H44">
        <f t="shared" si="7"/>
        <v>9.4148593747661504</v>
      </c>
    </row>
    <row r="45" spans="1:8" x14ac:dyDescent="0.25">
      <c r="A45">
        <v>45</v>
      </c>
      <c r="C45">
        <f t="shared" si="4"/>
        <v>8.0918840587999998</v>
      </c>
      <c r="D45">
        <f t="shared" si="5"/>
        <v>6.4728084546593152</v>
      </c>
      <c r="E45">
        <v>45</v>
      </c>
      <c r="G45">
        <f t="shared" si="6"/>
        <v>7.9423188416000006</v>
      </c>
      <c r="H45">
        <f t="shared" si="7"/>
        <v>9.5473619313519027</v>
      </c>
    </row>
    <row r="46" spans="1:8" x14ac:dyDescent="0.25">
      <c r="A46">
        <v>46</v>
      </c>
      <c r="C46">
        <f t="shared" si="4"/>
        <v>8.2074086964999999</v>
      </c>
      <c r="D46">
        <f t="shared" si="5"/>
        <v>6.5771263775427489</v>
      </c>
      <c r="E46">
        <v>46</v>
      </c>
      <c r="G46">
        <f t="shared" si="6"/>
        <v>8.063826087999999</v>
      </c>
      <c r="H46">
        <f t="shared" si="7"/>
        <v>9.6802279267576807</v>
      </c>
    </row>
    <row r="47" spans="1:8" x14ac:dyDescent="0.25">
      <c r="A47">
        <v>47</v>
      </c>
      <c r="C47">
        <f t="shared" si="4"/>
        <v>8.3229333342</v>
      </c>
      <c r="D47">
        <f t="shared" si="5"/>
        <v>6.6811307903060193</v>
      </c>
      <c r="E47">
        <v>47</v>
      </c>
      <c r="G47">
        <f t="shared" si="6"/>
        <v>8.1853333343999992</v>
      </c>
      <c r="H47">
        <f t="shared" si="7"/>
        <v>9.8134497542780181</v>
      </c>
    </row>
    <row r="48" spans="1:8" x14ac:dyDescent="0.25">
      <c r="A48">
        <v>48</v>
      </c>
      <c r="C48">
        <f t="shared" si="4"/>
        <v>8.4384579719000001</v>
      </c>
      <c r="D48">
        <f t="shared" si="5"/>
        <v>6.7848282452623021</v>
      </c>
      <c r="E48">
        <v>48</v>
      </c>
      <c r="G48">
        <f t="shared" si="6"/>
        <v>8.3068405807999994</v>
      </c>
      <c r="H48">
        <f t="shared" si="7"/>
        <v>9.9470197895976078</v>
      </c>
    </row>
    <row r="49" spans="1:8" x14ac:dyDescent="0.25">
      <c r="A49">
        <v>49</v>
      </c>
      <c r="C49">
        <f t="shared" si="4"/>
        <v>8.5539826096000002</v>
      </c>
      <c r="D49">
        <f t="shared" si="5"/>
        <v>6.888225280769058</v>
      </c>
      <c r="E49">
        <v>49</v>
      </c>
      <c r="G49">
        <f t="shared" si="6"/>
        <v>8.4283478271999996</v>
      </c>
      <c r="H49">
        <f t="shared" si="7"/>
        <v>10.080930407655753</v>
      </c>
    </row>
    <row r="50" spans="1:8" x14ac:dyDescent="0.25">
      <c r="A50">
        <v>50</v>
      </c>
      <c r="C50">
        <f t="shared" si="4"/>
        <v>8.6695072473000003</v>
      </c>
      <c r="D50">
        <f t="shared" si="5"/>
        <v>6.9913284098875117</v>
      </c>
      <c r="E50">
        <v>50</v>
      </c>
      <c r="G50">
        <f t="shared" si="6"/>
        <v>8.5498550735999999</v>
      </c>
      <c r="H50">
        <f t="shared" si="7"/>
        <v>10.215173998442317</v>
      </c>
    </row>
    <row r="51" spans="1:8" x14ac:dyDescent="0.25">
      <c r="A51">
        <v>51</v>
      </c>
      <c r="C51">
        <f t="shared" si="4"/>
        <v>8.7850318850000004</v>
      </c>
      <c r="D51">
        <f t="shared" si="5"/>
        <v>7.0941441098430342</v>
      </c>
      <c r="E51">
        <v>51</v>
      </c>
      <c r="G51">
        <f t="shared" si="6"/>
        <v>8.6713623200000001</v>
      </c>
      <c r="H51">
        <f t="shared" si="7"/>
        <v>10.349742981711898</v>
      </c>
    </row>
    <row r="52" spans="1:8" x14ac:dyDescent="0.25">
      <c r="A52">
        <v>52</v>
      </c>
      <c r="C52">
        <f t="shared" si="4"/>
        <v>8.9005565227000005</v>
      </c>
      <c r="D52">
        <f t="shared" si="5"/>
        <v>7.1966788122810801</v>
      </c>
      <c r="E52">
        <v>52</v>
      </c>
      <c r="G52">
        <f t="shared" si="6"/>
        <v>8.7928695664000003</v>
      </c>
      <c r="H52">
        <f t="shared" si="7"/>
        <v>10.484629820613726</v>
      </c>
    </row>
    <row r="53" spans="1:8" x14ac:dyDescent="0.25">
      <c r="A53">
        <v>53</v>
      </c>
      <c r="C53">
        <f t="shared" si="4"/>
        <v>9.0160811603999989</v>
      </c>
      <c r="D53">
        <f t="shared" si="5"/>
        <v>7.2989388943077049</v>
      </c>
      <c r="E53">
        <v>53</v>
      </c>
      <c r="G53">
        <f t="shared" si="6"/>
        <v>8.9143768128000005</v>
      </c>
      <c r="H53">
        <f t="shared" si="7"/>
        <v>10.619827034244308</v>
      </c>
    </row>
    <row r="54" spans="1:8" x14ac:dyDescent="0.25">
      <c r="A54">
        <v>54</v>
      </c>
      <c r="C54">
        <f t="shared" si="4"/>
        <v>9.1316057981000007</v>
      </c>
      <c r="D54">
        <f t="shared" si="5"/>
        <v>7.4009306702987878</v>
      </c>
      <c r="E54">
        <v>54</v>
      </c>
      <c r="G54">
        <f t="shared" si="6"/>
        <v>9.0358840592000007</v>
      </c>
      <c r="H54">
        <f t="shared" si="7"/>
        <v>10.755327209138347</v>
      </c>
    </row>
    <row r="55" spans="1:8" x14ac:dyDescent="0.25">
      <c r="A55">
        <v>55</v>
      </c>
      <c r="C55">
        <f t="shared" si="4"/>
        <v>9.247130435799999</v>
      </c>
      <c r="D55">
        <f t="shared" si="5"/>
        <v>7.5026603844577835</v>
      </c>
      <c r="E55">
        <v>55</v>
      </c>
      <c r="G55">
        <f t="shared" si="6"/>
        <v>9.1573913056000009</v>
      </c>
      <c r="H55">
        <f t="shared" si="7"/>
        <v>10.891123009720825</v>
      </c>
    </row>
    <row r="56" spans="1:8" x14ac:dyDescent="0.25">
      <c r="A56">
        <v>56</v>
      </c>
      <c r="C56">
        <f t="shared" si="4"/>
        <v>9.3626550735000009</v>
      </c>
      <c r="D56">
        <f t="shared" si="5"/>
        <v>7.6041342040983633</v>
      </c>
      <c r="E56">
        <v>56</v>
      </c>
      <c r="G56">
        <f t="shared" si="6"/>
        <v>9.2788985520000011</v>
      </c>
      <c r="H56">
        <f t="shared" si="7"/>
        <v>11.027207187749367</v>
      </c>
    </row>
    <row r="57" spans="1:8" x14ac:dyDescent="0.25">
      <c r="A57">
        <v>57</v>
      </c>
      <c r="C57">
        <f t="shared" si="4"/>
        <v>9.4781797111999992</v>
      </c>
      <c r="D57">
        <f t="shared" si="5"/>
        <v>7.7053582136252228</v>
      </c>
      <c r="E57">
        <v>57</v>
      </c>
      <c r="G57">
        <f t="shared" si="6"/>
        <v>9.4004057984000013</v>
      </c>
      <c r="H57">
        <f t="shared" si="7"/>
        <v>11.163572590781325</v>
      </c>
    </row>
    <row r="58" spans="1:8" x14ac:dyDescent="0.25">
      <c r="A58">
        <v>58</v>
      </c>
      <c r="C58">
        <f t="shared" si="4"/>
        <v>9.5937043489000011</v>
      </c>
      <c r="D58">
        <f t="shared" si="5"/>
        <v>7.8063384091841117</v>
      </c>
      <c r="E58">
        <v>58</v>
      </c>
      <c r="G58">
        <f t="shared" si="6"/>
        <v>9.5219130448000016</v>
      </c>
      <c r="H58">
        <f t="shared" si="7"/>
        <v>11.30021216970419</v>
      </c>
    </row>
    <row r="59" spans="1:8" x14ac:dyDescent="0.25">
      <c r="A59">
        <v>59</v>
      </c>
      <c r="C59">
        <f t="shared" si="4"/>
        <v>9.7092289865999994</v>
      </c>
      <c r="D59">
        <f t="shared" si="5"/>
        <v>7.9070806939501797</v>
      </c>
      <c r="E59">
        <v>59</v>
      </c>
      <c r="G59">
        <f t="shared" si="6"/>
        <v>9.6434202912</v>
      </c>
      <c r="H59">
        <f t="shared" si="7"/>
        <v>11.437118985371374</v>
      </c>
    </row>
    <row r="60" spans="1:8" x14ac:dyDescent="0.25">
      <c r="A60">
        <v>60</v>
      </c>
      <c r="C60">
        <f t="shared" si="4"/>
        <v>9.8247536243000013</v>
      </c>
      <c r="D60">
        <f t="shared" si="5"/>
        <v>8.0075908740225614</v>
      </c>
      <c r="E60">
        <v>60</v>
      </c>
      <c r="G60">
        <f t="shared" si="6"/>
        <v>9.7649275376000002</v>
      </c>
      <c r="H60">
        <f t="shared" si="7"/>
        <v>11.574286214387854</v>
      </c>
    </row>
    <row r="61" spans="1:8" x14ac:dyDescent="0.25">
      <c r="A61">
        <v>61</v>
      </c>
      <c r="C61">
        <f t="shared" si="4"/>
        <v>9.9402782619999996</v>
      </c>
      <c r="D61">
        <f t="shared" si="5"/>
        <v>8.1078746548920897</v>
      </c>
      <c r="E61">
        <v>61</v>
      </c>
      <c r="G61">
        <f t="shared" si="6"/>
        <v>9.8864347840000004</v>
      </c>
      <c r="H61">
        <f t="shared" si="7"/>
        <v>11.711707154091988</v>
      </c>
    </row>
    <row r="62" spans="1:8" x14ac:dyDescent="0.25">
      <c r="A62">
        <v>62</v>
      </c>
      <c r="C62">
        <f t="shared" si="4"/>
        <v>10.0558028997</v>
      </c>
      <c r="D62">
        <f t="shared" si="5"/>
        <v>8.2079376384487102</v>
      </c>
      <c r="E62">
        <v>62</v>
      </c>
      <c r="G62">
        <f t="shared" si="6"/>
        <v>10.007942030400001</v>
      </c>
      <c r="H62">
        <f t="shared" si="7"/>
        <v>11.849375226780818</v>
      </c>
    </row>
    <row r="63" spans="1:8" x14ac:dyDescent="0.25">
      <c r="A63">
        <v>63</v>
      </c>
      <c r="C63">
        <f t="shared" si="4"/>
        <v>10.1713275374</v>
      </c>
      <c r="D63">
        <f t="shared" si="5"/>
        <v>8.3077853204949133</v>
      </c>
      <c r="E63">
        <v>63</v>
      </c>
      <c r="G63">
        <f t="shared" si="6"/>
        <v>10.129449276799999</v>
      </c>
      <c r="H63">
        <f t="shared" si="7"/>
        <v>11.987283983226718</v>
      </c>
    </row>
    <row r="64" spans="1:8" x14ac:dyDescent="0.25">
      <c r="A64">
        <v>64</v>
      </c>
      <c r="C64">
        <f t="shared" si="4"/>
        <v>10.2868521751</v>
      </c>
      <c r="D64">
        <f t="shared" si="5"/>
        <v>8.4074230887318144</v>
      </c>
      <c r="E64">
        <v>64</v>
      </c>
      <c r="G64">
        <f t="shared" si="6"/>
        <v>10.250956523199999</v>
      </c>
      <c r="H64">
        <f t="shared" si="7"/>
        <v>12.125427105533142</v>
      </c>
    </row>
    <row r="65" spans="1:8" x14ac:dyDescent="0.25">
      <c r="A65">
        <v>65</v>
      </c>
      <c r="C65">
        <f t="shared" ref="C65:C70" si="8">3.0088+(A65-1)*0.1155246377</f>
        <v>10.4023768128</v>
      </c>
      <c r="D65">
        <f t="shared" ref="D65:D70" si="9">0+1*C65-1.41775157986048*(1.05555555555556+(C65-4.86444444444444)^2/41.8977873015874)^0.5</f>
        <v>8.5068562211848651</v>
      </c>
      <c r="E65">
        <v>65</v>
      </c>
      <c r="G65">
        <f t="shared" ref="G65:G70" si="10">2.596+(E65-1)*0.1215072464</f>
        <v>10.372463769599999</v>
      </c>
      <c r="H65">
        <f t="shared" ref="H65:H70" si="11">0+1*G65+1.41775157986048*(1.05555555555556+(G65-4.86444444444444)^2/41.8977873015874)^0.5</f>
        <v>12.263798409376729</v>
      </c>
    </row>
    <row r="66" spans="1:8" x14ac:dyDescent="0.25">
      <c r="A66">
        <v>66</v>
      </c>
      <c r="C66">
        <f t="shared" si="8"/>
        <v>10.5179014505</v>
      </c>
      <c r="D66">
        <f t="shared" si="9"/>
        <v>8.60608988503696</v>
      </c>
      <c r="E66">
        <v>66</v>
      </c>
      <c r="G66">
        <f t="shared" si="10"/>
        <v>10.493971016</v>
      </c>
      <c r="H66">
        <f t="shared" si="11"/>
        <v>12.402391845682152</v>
      </c>
    </row>
    <row r="67" spans="1:8" x14ac:dyDescent="0.25">
      <c r="A67">
        <v>67</v>
      </c>
      <c r="C67">
        <f t="shared" si="8"/>
        <v>10.6334260882</v>
      </c>
      <c r="D67">
        <f t="shared" si="9"/>
        <v>8.7051291358375043</v>
      </c>
      <c r="E67">
        <v>67</v>
      </c>
      <c r="G67">
        <f t="shared" si="10"/>
        <v>10.6154782624</v>
      </c>
      <c r="H67">
        <f t="shared" si="11"/>
        <v>12.541201501774854</v>
      </c>
    </row>
    <row r="68" spans="1:8" x14ac:dyDescent="0.25">
      <c r="A68">
        <v>68</v>
      </c>
      <c r="C68">
        <f t="shared" si="8"/>
        <v>10.7489507259</v>
      </c>
      <c r="D68">
        <f t="shared" si="9"/>
        <v>8.8039789170570675</v>
      </c>
      <c r="E68">
        <v>68</v>
      </c>
      <c r="G68">
        <f t="shared" si="10"/>
        <v>10.7369855088</v>
      </c>
      <c r="H68">
        <f t="shared" si="11"/>
        <v>12.680221602055365</v>
      </c>
    </row>
    <row r="69" spans="1:8" x14ac:dyDescent="0.25">
      <c r="A69">
        <v>69</v>
      </c>
      <c r="C69">
        <f t="shared" si="8"/>
        <v>10.8644753636</v>
      </c>
      <c r="D69">
        <f t="shared" si="9"/>
        <v>8.9026440599584209</v>
      </c>
      <c r="E69">
        <v>69</v>
      </c>
      <c r="G69">
        <f t="shared" si="10"/>
        <v>10.8584927552</v>
      </c>
      <c r="H69">
        <f t="shared" si="11"/>
        <v>12.819446508237203</v>
      </c>
    </row>
    <row r="70" spans="1:8" x14ac:dyDescent="0.25">
      <c r="A70">
        <v>70</v>
      </c>
      <c r="C70">
        <f t="shared" si="8"/>
        <v>10.980000001299999</v>
      </c>
      <c r="D70">
        <f t="shared" si="9"/>
        <v>9.0011292837559527</v>
      </c>
      <c r="E70">
        <v>70</v>
      </c>
      <c r="G70">
        <f t="shared" si="10"/>
        <v>10.980000001600001</v>
      </c>
      <c r="H70">
        <f t="shared" si="11"/>
        <v>12.958870719188525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022FB-985B-4CB6-802D-57C6CAD82DC5}">
  <sheetPr codeName="XLSTAT_20230621_090741_1_HID">
    <tabColor rgb="FF007800"/>
  </sheetPr>
  <dimension ref="A1:H70"/>
  <sheetViews>
    <sheetView workbookViewId="0">
      <selection activeCell="E1" sqref="E1"/>
    </sheetView>
  </sheetViews>
  <sheetFormatPr baseColWidth="10" defaultRowHeight="15" x14ac:dyDescent="0.25"/>
  <sheetData>
    <row r="1" spans="1:8" x14ac:dyDescent="0.25">
      <c r="A1">
        <v>1</v>
      </c>
      <c r="C1">
        <f t="shared" ref="C1:C32" si="0">3.0088+(A1-1)*0.1155246377</f>
        <v>3.0087999999999999</v>
      </c>
      <c r="D1">
        <f t="shared" ref="D1:D32" si="1">0+1*C1-1.58935970353146*(1.05555555555556+(C1-4.86444444444444)^2/42.0006444444445)^0.5</f>
        <v>1.3136598414529415</v>
      </c>
      <c r="E1">
        <v>1</v>
      </c>
      <c r="G1">
        <f t="shared" ref="G1:G32" si="2">2.596+(E1-1)*0.1215072464</f>
        <v>2.5960000000000001</v>
      </c>
      <c r="H1">
        <f t="shared" ref="H1:H32" si="3">0+1*G1+1.58935970353146*(1.05555555555556+(G1-4.86444444444444)^2/42.0006444444445)^0.5</f>
        <v>4.3210767600529048</v>
      </c>
    </row>
    <row r="2" spans="1:8" x14ac:dyDescent="0.25">
      <c r="A2">
        <v>2</v>
      </c>
      <c r="C2">
        <f t="shared" si="0"/>
        <v>3.1243246377</v>
      </c>
      <c r="D2">
        <f t="shared" si="1"/>
        <v>1.4365697383370177</v>
      </c>
      <c r="E2">
        <v>2</v>
      </c>
      <c r="G2">
        <f t="shared" si="2"/>
        <v>2.7175072464000003</v>
      </c>
      <c r="H2">
        <f t="shared" si="3"/>
        <v>4.4332061731779087</v>
      </c>
    </row>
    <row r="3" spans="1:8" x14ac:dyDescent="0.25">
      <c r="A3">
        <v>3</v>
      </c>
      <c r="C3">
        <f t="shared" si="0"/>
        <v>3.2398492754000001</v>
      </c>
      <c r="D3">
        <f t="shared" si="1"/>
        <v>1.5590344771858635</v>
      </c>
      <c r="E3">
        <v>3</v>
      </c>
      <c r="G3">
        <f t="shared" si="2"/>
        <v>2.8390144928000001</v>
      </c>
      <c r="H3">
        <f t="shared" si="3"/>
        <v>4.5458043756363971</v>
      </c>
    </row>
    <row r="4" spans="1:8" x14ac:dyDescent="0.25">
      <c r="A4">
        <v>4</v>
      </c>
      <c r="C4">
        <f t="shared" si="0"/>
        <v>3.3553739130999998</v>
      </c>
      <c r="D4">
        <f t="shared" si="1"/>
        <v>1.6810485224322895</v>
      </c>
      <c r="E4">
        <v>4</v>
      </c>
      <c r="G4">
        <f t="shared" si="2"/>
        <v>2.9605217392000003</v>
      </c>
      <c r="H4">
        <f t="shared" si="3"/>
        <v>4.6588787448063229</v>
      </c>
    </row>
    <row r="5" spans="1:8" x14ac:dyDescent="0.25">
      <c r="A5">
        <v>5</v>
      </c>
      <c r="C5">
        <f t="shared" si="0"/>
        <v>3.4708985507999999</v>
      </c>
      <c r="D5">
        <f t="shared" si="1"/>
        <v>1.8026066146747279</v>
      </c>
      <c r="E5">
        <v>5</v>
      </c>
      <c r="G5">
        <f t="shared" si="2"/>
        <v>3.0820289856</v>
      </c>
      <c r="H5">
        <f t="shared" si="3"/>
        <v>4.7724364070120808</v>
      </c>
    </row>
    <row r="6" spans="1:8" x14ac:dyDescent="0.25">
      <c r="A6">
        <v>6</v>
      </c>
      <c r="C6">
        <f t="shared" si="0"/>
        <v>3.5864231885</v>
      </c>
      <c r="D6">
        <f t="shared" si="1"/>
        <v>1.9237037904012979</v>
      </c>
      <c r="E6">
        <v>6</v>
      </c>
      <c r="G6">
        <f t="shared" si="2"/>
        <v>3.2035362320000003</v>
      </c>
      <c r="H6">
        <f t="shared" si="3"/>
        <v>4.8864842109261408</v>
      </c>
    </row>
    <row r="7" spans="1:8" x14ac:dyDescent="0.25">
      <c r="A7">
        <v>7</v>
      </c>
      <c r="C7">
        <f t="shared" si="0"/>
        <v>3.7019478262000001</v>
      </c>
      <c r="D7">
        <f t="shared" si="1"/>
        <v>2.0443354010975923</v>
      </c>
      <c r="E7">
        <v>7</v>
      </c>
      <c r="G7">
        <f t="shared" si="2"/>
        <v>3.3250434784</v>
      </c>
      <c r="H7">
        <f t="shared" si="3"/>
        <v>5.0010287011008749</v>
      </c>
    </row>
    <row r="8" spans="1:8" x14ac:dyDescent="0.25">
      <c r="A8">
        <v>8</v>
      </c>
      <c r="C8">
        <f t="shared" si="0"/>
        <v>3.8174724638999997</v>
      </c>
      <c r="D8">
        <f t="shared" si="1"/>
        <v>2.1644971315791768</v>
      </c>
      <c r="E8">
        <v>8</v>
      </c>
      <c r="G8">
        <f t="shared" si="2"/>
        <v>3.4465507248000002</v>
      </c>
      <c r="H8">
        <f t="shared" si="3"/>
        <v>5.1160760918386066</v>
      </c>
    </row>
    <row r="9" spans="1:8" x14ac:dyDescent="0.25">
      <c r="A9">
        <v>9</v>
      </c>
      <c r="C9">
        <f t="shared" si="0"/>
        <v>3.9329971015999998</v>
      </c>
      <c r="D9">
        <f t="shared" si="1"/>
        <v>2.2841850173904441</v>
      </c>
      <c r="E9">
        <v>9</v>
      </c>
      <c r="G9">
        <f t="shared" si="2"/>
        <v>3.5680579712</v>
      </c>
      <c r="H9">
        <f t="shared" si="3"/>
        <v>5.2316322416167615</v>
      </c>
    </row>
    <row r="10" spans="1:8" x14ac:dyDescent="0.25">
      <c r="A10">
        <v>10</v>
      </c>
      <c r="C10">
        <f t="shared" si="0"/>
        <v>4.0485217392999999</v>
      </c>
      <c r="D10">
        <f t="shared" si="1"/>
        <v>2.4033954611143837</v>
      </c>
      <c r="E10">
        <v>10</v>
      </c>
      <c r="G10">
        <f t="shared" si="2"/>
        <v>3.6895652176000002</v>
      </c>
      <c r="H10">
        <f t="shared" si="3"/>
        <v>5.3477026282911364</v>
      </c>
    </row>
    <row r="11" spans="1:8" x14ac:dyDescent="0.25">
      <c r="A11">
        <v>11</v>
      </c>
      <c r="C11">
        <f t="shared" si="0"/>
        <v>4.164046377</v>
      </c>
      <c r="D11">
        <f t="shared" si="1"/>
        <v>2.5221252474431233</v>
      </c>
      <c r="E11">
        <v>11</v>
      </c>
      <c r="G11">
        <f t="shared" si="2"/>
        <v>3.8110724640000004</v>
      </c>
      <c r="H11">
        <f t="shared" si="3"/>
        <v>5.4642923253033686</v>
      </c>
    </row>
    <row r="12" spans="1:8" x14ac:dyDescent="0.25">
      <c r="A12">
        <v>12</v>
      </c>
      <c r="C12">
        <f t="shared" si="0"/>
        <v>4.2795710147000001</v>
      </c>
      <c r="D12">
        <f t="shared" si="1"/>
        <v>2.6403715568667332</v>
      </c>
      <c r="E12">
        <v>12</v>
      </c>
      <c r="G12">
        <f t="shared" si="2"/>
        <v>3.9325797104000002</v>
      </c>
      <c r="H12">
        <f t="shared" si="3"/>
        <v>5.5814059791184247</v>
      </c>
    </row>
    <row r="13" spans="1:8" x14ac:dyDescent="0.25">
      <c r="A13">
        <v>13</v>
      </c>
      <c r="C13">
        <f t="shared" si="0"/>
        <v>4.3950956524000002</v>
      </c>
      <c r="D13">
        <f t="shared" si="1"/>
        <v>2.7581319778477824</v>
      </c>
      <c r="E13">
        <v>13</v>
      </c>
      <c r="G13">
        <f t="shared" si="2"/>
        <v>4.0540869568</v>
      </c>
      <c r="H13">
        <f t="shared" si="3"/>
        <v>5.6990477881140755</v>
      </c>
    </row>
    <row r="14" spans="1:8" x14ac:dyDescent="0.25">
      <c r="A14">
        <v>14</v>
      </c>
      <c r="C14">
        <f t="shared" si="0"/>
        <v>4.5106202901000003</v>
      </c>
      <c r="D14">
        <f t="shared" si="1"/>
        <v>2.8754045173613703</v>
      </c>
      <c r="E14">
        <v>14</v>
      </c>
      <c r="G14">
        <f t="shared" si="2"/>
        <v>4.1755942032000002</v>
      </c>
      <c r="H14">
        <f t="shared" si="3"/>
        <v>5.817221483136783</v>
      </c>
    </row>
    <row r="15" spans="1:8" x14ac:dyDescent="0.25">
      <c r="A15">
        <v>15</v>
      </c>
      <c r="C15">
        <f t="shared" si="0"/>
        <v>4.6261449278000004</v>
      </c>
      <c r="D15">
        <f t="shared" si="1"/>
        <v>2.9921876096946698</v>
      </c>
      <c r="E15">
        <v>15</v>
      </c>
      <c r="G15">
        <f t="shared" si="2"/>
        <v>4.2971014496000004</v>
      </c>
      <c r="H15">
        <f t="shared" si="3"/>
        <v>5.9359303099272047</v>
      </c>
    </row>
    <row r="16" spans="1:8" x14ac:dyDescent="0.25">
      <c r="A16">
        <v>16</v>
      </c>
      <c r="C16">
        <f t="shared" si="0"/>
        <v>4.7416695654999996</v>
      </c>
      <c r="D16">
        <f t="shared" si="1"/>
        <v>3.108480123416256</v>
      </c>
      <c r="E16">
        <v>16</v>
      </c>
      <c r="G16">
        <f t="shared" si="2"/>
        <v>4.4186086959999997</v>
      </c>
      <c r="H16">
        <f t="shared" si="3"/>
        <v>6.055177013603533</v>
      </c>
    </row>
    <row r="17" spans="1:8" x14ac:dyDescent="0.25">
      <c r="A17">
        <v>17</v>
      </c>
      <c r="C17">
        <f t="shared" si="0"/>
        <v>4.8571942031999997</v>
      </c>
      <c r="D17">
        <f t="shared" si="1"/>
        <v>3.2242813664433259</v>
      </c>
      <c r="E17">
        <v>17</v>
      </c>
      <c r="G17">
        <f t="shared" si="2"/>
        <v>4.5401159423999999</v>
      </c>
      <c r="H17">
        <f t="shared" si="3"/>
        <v>6.1749638253724592</v>
      </c>
    </row>
    <row r="18" spans="1:8" x14ac:dyDescent="0.25">
      <c r="A18">
        <v>18</v>
      </c>
      <c r="C18">
        <f t="shared" si="0"/>
        <v>4.9727188408999998</v>
      </c>
      <c r="D18">
        <f t="shared" si="1"/>
        <v>3.3395910891540681</v>
      </c>
      <c r="E18">
        <v>18</v>
      </c>
      <c r="G18">
        <f t="shared" si="2"/>
        <v>4.6616231888000002</v>
      </c>
      <c r="H18">
        <f t="shared" si="3"/>
        <v>6.295292451615758</v>
      </c>
    </row>
    <row r="19" spans="1:8" x14ac:dyDescent="0.25">
      <c r="A19">
        <v>19</v>
      </c>
      <c r="C19">
        <f t="shared" si="0"/>
        <v>5.0882434785999999</v>
      </c>
      <c r="D19">
        <f t="shared" si="1"/>
        <v>3.454409485512639</v>
      </c>
      <c r="E19">
        <v>19</v>
      </c>
      <c r="G19">
        <f t="shared" si="2"/>
        <v>4.7831304352000004</v>
      </c>
      <c r="H19">
        <f t="shared" si="3"/>
        <v>6.4161640654758765</v>
      </c>
    </row>
    <row r="20" spans="1:8" x14ac:dyDescent="0.25">
      <c r="A20">
        <v>20</v>
      </c>
      <c r="C20">
        <f t="shared" si="0"/>
        <v>5.2037681163</v>
      </c>
      <c r="D20">
        <f t="shared" si="1"/>
        <v>3.5687371921949143</v>
      </c>
      <c r="E20">
        <v>20</v>
      </c>
      <c r="G20">
        <f t="shared" si="2"/>
        <v>4.9046376816000006</v>
      </c>
      <c r="H20">
        <f t="shared" si="3"/>
        <v>6.5375793010367174</v>
      </c>
    </row>
    <row r="21" spans="1:8" x14ac:dyDescent="0.25">
      <c r="A21">
        <v>21</v>
      </c>
      <c r="C21">
        <f t="shared" si="0"/>
        <v>5.3192927540000001</v>
      </c>
      <c r="D21">
        <f t="shared" si="1"/>
        <v>3.6825752857241998</v>
      </c>
      <c r="E21">
        <v>21</v>
      </c>
      <c r="G21">
        <f t="shared" si="2"/>
        <v>5.0261449280000008</v>
      </c>
      <c r="H21">
        <f t="shared" si="3"/>
        <v>6.6595382501667046</v>
      </c>
    </row>
    <row r="22" spans="1:8" x14ac:dyDescent="0.25">
      <c r="A22">
        <v>22</v>
      </c>
      <c r="C22">
        <f t="shared" si="0"/>
        <v>5.4348173916999993</v>
      </c>
      <c r="D22">
        <f t="shared" si="1"/>
        <v>3.7959252776468997</v>
      </c>
      <c r="E22">
        <v>22</v>
      </c>
      <c r="G22">
        <f t="shared" si="2"/>
        <v>5.1476521744000001</v>
      </c>
      <c r="H22">
        <f t="shared" si="3"/>
        <v>6.782040462060718</v>
      </c>
    </row>
    <row r="23" spans="1:8" x14ac:dyDescent="0.25">
      <c r="A23">
        <v>23</v>
      </c>
      <c r="C23">
        <f t="shared" si="0"/>
        <v>5.5503420293999994</v>
      </c>
      <c r="D23">
        <f t="shared" si="1"/>
        <v>3.9087891077983832</v>
      </c>
      <c r="E23">
        <v>23</v>
      </c>
      <c r="G23">
        <f t="shared" si="2"/>
        <v>5.2691594208000003</v>
      </c>
      <c r="H23">
        <f t="shared" si="3"/>
        <v>6.9050849454862133</v>
      </c>
    </row>
    <row r="24" spans="1:8" x14ac:dyDescent="0.25">
      <c r="A24">
        <v>24</v>
      </c>
      <c r="C24">
        <f t="shared" si="0"/>
        <v>5.6658666670999995</v>
      </c>
      <c r="D24">
        <f t="shared" si="1"/>
        <v>4.0211691357285799</v>
      </c>
      <c r="E24">
        <v>24</v>
      </c>
      <c r="G24">
        <f t="shared" si="2"/>
        <v>5.3906666671999997</v>
      </c>
      <c r="H24">
        <f t="shared" si="3"/>
        <v>7.0286701737074679</v>
      </c>
    </row>
    <row r="25" spans="1:8" x14ac:dyDescent="0.25">
      <c r="A25">
        <v>25</v>
      </c>
      <c r="C25">
        <f t="shared" si="0"/>
        <v>5.7813913047999996</v>
      </c>
      <c r="D25">
        <f t="shared" si="1"/>
        <v>4.1330681303749248</v>
      </c>
      <c r="E25">
        <v>25</v>
      </c>
      <c r="G25">
        <f t="shared" si="2"/>
        <v>5.5121739135999999</v>
      </c>
      <c r="H25">
        <f t="shared" si="3"/>
        <v>7.1527940920310833</v>
      </c>
    </row>
    <row r="26" spans="1:8" x14ac:dyDescent="0.25">
      <c r="A26">
        <v>26</v>
      </c>
      <c r="C26">
        <f t="shared" si="0"/>
        <v>5.8969159424999997</v>
      </c>
      <c r="D26">
        <f t="shared" si="1"/>
        <v>4.2444892580866362</v>
      </c>
      <c r="E26">
        <v>26</v>
      </c>
      <c r="G26">
        <f t="shared" si="2"/>
        <v>5.6336811600000001</v>
      </c>
      <c r="H26">
        <f t="shared" si="3"/>
        <v>7.2774541278861662</v>
      </c>
    </row>
    <row r="27" spans="1:8" x14ac:dyDescent="0.25">
      <c r="A27">
        <v>27</v>
      </c>
      <c r="C27">
        <f t="shared" si="0"/>
        <v>6.0124405801999998</v>
      </c>
      <c r="D27">
        <f t="shared" si="1"/>
        <v>4.3554360691189338</v>
      </c>
      <c r="E27">
        <v>27</v>
      </c>
      <c r="G27">
        <f t="shared" si="2"/>
        <v>5.7551884064000003</v>
      </c>
      <c r="H27">
        <f t="shared" si="3"/>
        <v>7.402647203324805</v>
      </c>
    </row>
    <row r="28" spans="1:8" x14ac:dyDescent="0.25">
      <c r="A28">
        <v>28</v>
      </c>
      <c r="C28">
        <f t="shared" si="0"/>
        <v>6.1279652178999999</v>
      </c>
      <c r="D28">
        <f t="shared" si="1"/>
        <v>4.4659124827282959</v>
      </c>
      <c r="E28">
        <v>28</v>
      </c>
      <c r="G28">
        <f t="shared" si="2"/>
        <v>5.8766956528000005</v>
      </c>
      <c r="H28">
        <f t="shared" si="3"/>
        <v>7.5283697498028346</v>
      </c>
    </row>
    <row r="29" spans="1:8" x14ac:dyDescent="0.25">
      <c r="A29">
        <v>29</v>
      </c>
      <c r="C29">
        <f t="shared" si="0"/>
        <v>6.2434898556</v>
      </c>
      <c r="D29">
        <f t="shared" si="1"/>
        <v>4.5759227710101325</v>
      </c>
      <c r="E29">
        <v>29</v>
      </c>
      <c r="G29">
        <f t="shared" si="2"/>
        <v>5.9982028992000007</v>
      </c>
      <c r="H29">
        <f t="shared" si="3"/>
        <v>7.6546177250781406</v>
      </c>
    </row>
    <row r="30" spans="1:8" x14ac:dyDescent="0.25">
      <c r="A30">
        <v>30</v>
      </c>
      <c r="C30">
        <f t="shared" si="0"/>
        <v>6.3590144933000001</v>
      </c>
      <c r="D30">
        <f t="shared" si="1"/>
        <v>4.6854715416281776</v>
      </c>
      <c r="E30">
        <v>30</v>
      </c>
      <c r="G30">
        <f t="shared" si="2"/>
        <v>6.1197101456</v>
      </c>
      <c r="H30">
        <f t="shared" si="3"/>
        <v>7.781386632044117</v>
      </c>
    </row>
    <row r="31" spans="1:8" x14ac:dyDescent="0.25">
      <c r="A31">
        <v>31</v>
      </c>
      <c r="C31">
        <f t="shared" si="0"/>
        <v>6.4745391310000002</v>
      </c>
      <c r="D31">
        <f t="shared" si="1"/>
        <v>4.7945637195905366</v>
      </c>
      <c r="E31">
        <v>31</v>
      </c>
      <c r="G31">
        <f t="shared" si="2"/>
        <v>6.2412173920000003</v>
      </c>
      <c r="H31">
        <f t="shared" si="3"/>
        <v>7.9086715392997684</v>
      </c>
    </row>
    <row r="32" spans="1:8" x14ac:dyDescent="0.25">
      <c r="A32">
        <v>32</v>
      </c>
      <c r="C32">
        <f t="shared" si="0"/>
        <v>6.5900637687000003</v>
      </c>
      <c r="D32">
        <f t="shared" si="1"/>
        <v>4.9032045282304733</v>
      </c>
      <c r="E32">
        <v>32</v>
      </c>
      <c r="G32">
        <f t="shared" si="2"/>
        <v>6.3627246383999996</v>
      </c>
      <c r="H32">
        <f t="shared" si="3"/>
        <v>8.0364671032453838</v>
      </c>
    </row>
    <row r="33" spans="1:8" x14ac:dyDescent="0.25">
      <c r="A33">
        <v>33</v>
      </c>
      <c r="C33">
        <f t="shared" ref="C33:C64" si="4">3.0088+(A33-1)*0.1155246377</f>
        <v>6.7055884064000004</v>
      </c>
      <c r="D33">
        <f t="shared" ref="D33:D64" si="5">0+1*C33-1.58935970353146*(1.05555555555556+(C33-4.86444444444444)^2/42.0006444444445)^0.5</f>
        <v>5.0113994695510025</v>
      </c>
      <c r="E33">
        <v>33</v>
      </c>
      <c r="G33">
        <f t="shared" ref="G33:G64" si="6">2.596+(E33-1)*0.1215072464</f>
        <v>6.4842318847999998</v>
      </c>
      <c r="H33">
        <f t="shared" ref="H33:H64" si="7">0+1*G33+1.58935970353146*(1.05555555555556+(G33-4.86444444444444)^2/42.0006444444445)^0.5</f>
        <v>8.1647675914839688</v>
      </c>
    </row>
    <row r="34" spans="1:8" x14ac:dyDescent="0.25">
      <c r="A34">
        <v>34</v>
      </c>
      <c r="C34">
        <f t="shared" si="4"/>
        <v>6.8211130441000005</v>
      </c>
      <c r="D34">
        <f t="shared" si="5"/>
        <v>5.1191543040910892</v>
      </c>
      <c r="E34">
        <v>34</v>
      </c>
      <c r="G34">
        <f t="shared" si="6"/>
        <v>6.6057391312</v>
      </c>
      <c r="H34">
        <f t="shared" si="7"/>
        <v>8.2935669073034877</v>
      </c>
    </row>
    <row r="35" spans="1:8" x14ac:dyDescent="0.25">
      <c r="A35">
        <v>35</v>
      </c>
      <c r="C35">
        <f t="shared" si="4"/>
        <v>6.9366376818000006</v>
      </c>
      <c r="D35">
        <f t="shared" si="5"/>
        <v>5.2264750304679772</v>
      </c>
      <c r="E35">
        <v>35</v>
      </c>
      <c r="G35">
        <f t="shared" si="6"/>
        <v>6.7272463776000002</v>
      </c>
      <c r="H35">
        <f t="shared" si="7"/>
        <v>8.4228586150135776</v>
      </c>
    </row>
    <row r="36" spans="1:8" x14ac:dyDescent="0.25">
      <c r="A36">
        <v>36</v>
      </c>
      <c r="C36">
        <f t="shared" si="4"/>
        <v>7.0521623194999998</v>
      </c>
      <c r="D36">
        <f t="shared" si="5"/>
        <v>5.3333678647450666</v>
      </c>
      <c r="E36">
        <v>36</v>
      </c>
      <c r="G36">
        <f t="shared" si="6"/>
        <v>6.8487536240000004</v>
      </c>
      <c r="H36">
        <f t="shared" si="7"/>
        <v>8.5526359659122839</v>
      </c>
    </row>
    <row r="37" spans="1:8" x14ac:dyDescent="0.25">
      <c r="A37">
        <v>37</v>
      </c>
      <c r="C37">
        <f t="shared" si="4"/>
        <v>7.1676869571999999</v>
      </c>
      <c r="D37">
        <f t="shared" si="5"/>
        <v>5.4398392197680483</v>
      </c>
      <c r="E37">
        <v>37</v>
      </c>
      <c r="G37">
        <f t="shared" si="6"/>
        <v>6.9702608704000006</v>
      </c>
      <c r="H37">
        <f t="shared" si="7"/>
        <v>8.682891924663549</v>
      </c>
    </row>
    <row r="38" spans="1:8" x14ac:dyDescent="0.25">
      <c r="A38">
        <v>38</v>
      </c>
      <c r="C38">
        <f t="shared" si="4"/>
        <v>7.2832115949</v>
      </c>
      <c r="D38">
        <f t="shared" si="5"/>
        <v>5.5458956846038348</v>
      </c>
      <c r="E38">
        <v>38</v>
      </c>
      <c r="G38">
        <f t="shared" si="6"/>
        <v>7.0917681168</v>
      </c>
      <c r="H38">
        <f t="shared" si="7"/>
        <v>8.8136191958741552</v>
      </c>
    </row>
    <row r="39" spans="1:8" x14ac:dyDescent="0.25">
      <c r="A39">
        <v>39</v>
      </c>
      <c r="C39">
        <f t="shared" si="4"/>
        <v>7.3987362326000001</v>
      </c>
      <c r="D39">
        <f t="shared" si="5"/>
        <v>5.651544004207615</v>
      </c>
      <c r="E39">
        <v>39</v>
      </c>
      <c r="G39">
        <f t="shared" si="6"/>
        <v>7.2132753632000002</v>
      </c>
      <c r="H39">
        <f t="shared" si="7"/>
        <v>8.9448102506693132</v>
      </c>
    </row>
    <row r="40" spans="1:8" x14ac:dyDescent="0.25">
      <c r="A40">
        <v>40</v>
      </c>
      <c r="C40">
        <f t="shared" si="4"/>
        <v>7.5142608703000002</v>
      </c>
      <c r="D40">
        <f t="shared" si="5"/>
        <v>5.7567910594331462</v>
      </c>
      <c r="E40">
        <v>40</v>
      </c>
      <c r="G40">
        <f t="shared" si="6"/>
        <v>7.3347826096000004</v>
      </c>
      <c r="H40">
        <f t="shared" si="7"/>
        <v>9.0764573530786681</v>
      </c>
    </row>
    <row r="41" spans="1:8" x14ac:dyDescent="0.25">
      <c r="A41">
        <v>41</v>
      </c>
      <c r="C41">
        <f t="shared" si="4"/>
        <v>7.6297855080000003</v>
      </c>
      <c r="D41">
        <f t="shared" si="5"/>
        <v>5.8616438474905603</v>
      </c>
      <c r="E41">
        <v>41</v>
      </c>
      <c r="G41">
        <f t="shared" si="6"/>
        <v>7.4562898560000006</v>
      </c>
      <c r="H41">
        <f t="shared" si="7"/>
        <v>9.2085525860588149</v>
      </c>
    </row>
    <row r="42" spans="1:8" x14ac:dyDescent="0.25">
      <c r="A42">
        <v>42</v>
      </c>
      <c r="C42">
        <f t="shared" si="4"/>
        <v>7.7453101457000004</v>
      </c>
      <c r="D42">
        <f t="shared" si="5"/>
        <v>5.9661094629447202</v>
      </c>
      <c r="E42">
        <v>42</v>
      </c>
      <c r="G42">
        <f t="shared" si="6"/>
        <v>7.5777971023999999</v>
      </c>
      <c r="H42">
        <f t="shared" si="7"/>
        <v>9.3410878769940346</v>
      </c>
    </row>
    <row r="43" spans="1:8" x14ac:dyDescent="0.25">
      <c r="A43">
        <v>43</v>
      </c>
      <c r="C43">
        <f t="shared" si="4"/>
        <v>7.8608347833999996</v>
      </c>
      <c r="D43">
        <f t="shared" si="5"/>
        <v>6.0701950793356376</v>
      </c>
      <c r="E43">
        <v>43</v>
      </c>
      <c r="G43">
        <f t="shared" si="6"/>
        <v>7.6993043488000001</v>
      </c>
      <c r="H43">
        <f t="shared" si="7"/>
        <v>9.474055022533431</v>
      </c>
    </row>
    <row r="44" spans="1:8" x14ac:dyDescent="0.25">
      <c r="A44">
        <v>44</v>
      </c>
      <c r="C44">
        <f t="shared" si="4"/>
        <v>7.9763594210999997</v>
      </c>
      <c r="D44">
        <f t="shared" si="5"/>
        <v>6.1739079314910192</v>
      </c>
      <c r="E44">
        <v>44</v>
      </c>
      <c r="G44">
        <f t="shared" si="6"/>
        <v>7.8208115952000004</v>
      </c>
      <c r="H44">
        <f t="shared" si="7"/>
        <v>9.6074457126397412</v>
      </c>
    </row>
    <row r="45" spans="1:8" x14ac:dyDescent="0.25">
      <c r="A45">
        <v>45</v>
      </c>
      <c r="C45">
        <f t="shared" si="4"/>
        <v>8.0918840587999998</v>
      </c>
      <c r="D45">
        <f t="shared" si="5"/>
        <v>6.2772552985896279</v>
      </c>
      <c r="E45">
        <v>45</v>
      </c>
      <c r="G45">
        <f t="shared" si="6"/>
        <v>7.9423188416000006</v>
      </c>
      <c r="H45">
        <f t="shared" si="7"/>
        <v>9.7412515537423072</v>
      </c>
    </row>
    <row r="46" spans="1:8" x14ac:dyDescent="0.25">
      <c r="A46">
        <v>46</v>
      </c>
      <c r="C46">
        <f t="shared" si="4"/>
        <v>8.2074086964999999</v>
      </c>
      <c r="D46">
        <f t="shared" si="5"/>
        <v>6.3802444880231848</v>
      </c>
      <c r="E46">
        <v>46</v>
      </c>
      <c r="G46">
        <f t="shared" si="6"/>
        <v>8.063826087999999</v>
      </c>
      <c r="H46">
        <f t="shared" si="7"/>
        <v>9.8754640909037903</v>
      </c>
    </row>
    <row r="47" spans="1:8" x14ac:dyDescent="0.25">
      <c r="A47">
        <v>47</v>
      </c>
      <c r="C47">
        <f t="shared" si="4"/>
        <v>8.3229333342</v>
      </c>
      <c r="D47">
        <f t="shared" si="5"/>
        <v>6.4828828200939732</v>
      </c>
      <c r="E47">
        <v>47</v>
      </c>
      <c r="G47">
        <f t="shared" si="6"/>
        <v>8.1853333343999992</v>
      </c>
      <c r="H47">
        <f t="shared" si="7"/>
        <v>10.01007482892693</v>
      </c>
    </row>
    <row r="48" spans="1:8" x14ac:dyDescent="0.25">
      <c r="A48">
        <v>48</v>
      </c>
      <c r="C48">
        <f t="shared" si="4"/>
        <v>8.4384579719000001</v>
      </c>
      <c r="D48">
        <f t="shared" si="5"/>
        <v>6.5851776135753139</v>
      </c>
      <c r="E48">
        <v>48</v>
      </c>
      <c r="G48">
        <f t="shared" si="6"/>
        <v>8.3068405807999994</v>
      </c>
      <c r="H48">
        <f t="shared" si="7"/>
        <v>10.145075252343624</v>
      </c>
    </row>
    <row r="49" spans="1:8" x14ac:dyDescent="0.25">
      <c r="A49">
        <v>49</v>
      </c>
      <c r="C49">
        <f t="shared" si="4"/>
        <v>8.5539826096000002</v>
      </c>
      <c r="D49">
        <f t="shared" si="5"/>
        <v>6.6871361721527816</v>
      </c>
      <c r="E49">
        <v>49</v>
      </c>
      <c r="G49">
        <f t="shared" si="6"/>
        <v>8.4283478271999996</v>
      </c>
      <c r="H49">
        <f t="shared" si="7"/>
        <v>10.280456844243917</v>
      </c>
    </row>
    <row r="50" spans="1:8" x14ac:dyDescent="0.25">
      <c r="A50">
        <v>50</v>
      </c>
      <c r="C50">
        <f t="shared" si="4"/>
        <v>8.6695072473000003</v>
      </c>
      <c r="D50">
        <f t="shared" si="5"/>
        <v>6.7887657717553829</v>
      </c>
      <c r="E50">
        <v>50</v>
      </c>
      <c r="G50">
        <f t="shared" si="6"/>
        <v>8.5498550735999999</v>
      </c>
      <c r="H50">
        <f t="shared" si="7"/>
        <v>10.416211103916631</v>
      </c>
    </row>
    <row r="51" spans="1:8" x14ac:dyDescent="0.25">
      <c r="A51">
        <v>51</v>
      </c>
      <c r="C51">
        <f t="shared" si="4"/>
        <v>8.7850318850000004</v>
      </c>
      <c r="D51">
        <f t="shared" si="5"/>
        <v>6.890073648778106</v>
      </c>
      <c r="E51">
        <v>51</v>
      </c>
      <c r="G51">
        <f t="shared" si="6"/>
        <v>8.6713623200000001</v>
      </c>
      <c r="H51">
        <f t="shared" si="7"/>
        <v>10.552329563286468</v>
      </c>
    </row>
    <row r="52" spans="1:8" x14ac:dyDescent="0.25">
      <c r="A52">
        <v>52</v>
      </c>
      <c r="C52">
        <f t="shared" si="4"/>
        <v>8.9005565227000005</v>
      </c>
      <c r="D52">
        <f t="shared" si="5"/>
        <v>6.9910669891901378</v>
      </c>
      <c r="E52">
        <v>52</v>
      </c>
      <c r="G52">
        <f t="shared" si="6"/>
        <v>8.7928695664000003</v>
      </c>
      <c r="H52">
        <f t="shared" si="7"/>
        <v>10.688803802144404</v>
      </c>
    </row>
    <row r="53" spans="1:8" x14ac:dyDescent="0.25">
      <c r="A53">
        <v>53</v>
      </c>
      <c r="C53">
        <f t="shared" si="4"/>
        <v>9.0160811603999989</v>
      </c>
      <c r="D53">
        <f t="shared" si="5"/>
        <v>7.0917529185167938</v>
      </c>
      <c r="E53">
        <v>53</v>
      </c>
      <c r="G53">
        <f t="shared" si="6"/>
        <v>8.9143768128000005</v>
      </c>
      <c r="H53">
        <f t="shared" si="7"/>
        <v>10.825625462178806</v>
      </c>
    </row>
    <row r="54" spans="1:8" x14ac:dyDescent="0.25">
      <c r="A54">
        <v>54</v>
      </c>
      <c r="C54">
        <f t="shared" si="4"/>
        <v>9.1316057981000007</v>
      </c>
      <c r="D54">
        <f t="shared" si="5"/>
        <v>7.1921384926777163</v>
      </c>
      <c r="E54">
        <v>54</v>
      </c>
      <c r="G54">
        <f t="shared" si="6"/>
        <v>9.0358840592000007</v>
      </c>
      <c r="H54">
        <f t="shared" si="7"/>
        <v>10.962786259824226</v>
      </c>
    </row>
    <row r="55" spans="1:8" x14ac:dyDescent="0.25">
      <c r="A55">
        <v>55</v>
      </c>
      <c r="C55">
        <f t="shared" si="4"/>
        <v>9.247130435799999</v>
      </c>
      <c r="D55">
        <f t="shared" si="5"/>
        <v>7.2922306896591085</v>
      </c>
      <c r="E55">
        <v>55</v>
      </c>
      <c r="G55">
        <f t="shared" si="6"/>
        <v>9.1573913056000009</v>
      </c>
      <c r="H55">
        <f t="shared" si="7"/>
        <v>11.100277997952961</v>
      </c>
    </row>
    <row r="56" spans="1:8" x14ac:dyDescent="0.25">
      <c r="A56">
        <v>56</v>
      </c>
      <c r="C56">
        <f t="shared" si="4"/>
        <v>9.3626550735000009</v>
      </c>
      <c r="D56">
        <f t="shared" si="5"/>
        <v>7.3920364019938827</v>
      </c>
      <c r="E56">
        <v>56</v>
      </c>
      <c r="G56">
        <f t="shared" si="6"/>
        <v>9.2788985520000011</v>
      </c>
      <c r="H56">
        <f t="shared" si="7"/>
        <v>11.238092576441568</v>
      </c>
    </row>
    <row r="57" spans="1:8" x14ac:dyDescent="0.25">
      <c r="A57">
        <v>57</v>
      </c>
      <c r="C57">
        <f t="shared" si="4"/>
        <v>9.4781797111999992</v>
      </c>
      <c r="D57">
        <f t="shared" si="5"/>
        <v>7.4915624300201467</v>
      </c>
      <c r="E57">
        <v>57</v>
      </c>
      <c r="G57">
        <f t="shared" si="6"/>
        <v>9.4004057984000013</v>
      </c>
      <c r="H57">
        <f t="shared" si="7"/>
        <v>11.376222001650305</v>
      </c>
    </row>
    <row r="58" spans="1:8" x14ac:dyDescent="0.25">
      <c r="A58">
        <v>58</v>
      </c>
      <c r="C58">
        <f t="shared" si="4"/>
        <v>9.5937043489000011</v>
      </c>
      <c r="D58">
        <f t="shared" si="5"/>
        <v>7.5908154758859752</v>
      </c>
      <c r="E58">
        <v>58</v>
      </c>
      <c r="G58">
        <f t="shared" si="6"/>
        <v>9.5219130448000016</v>
      </c>
      <c r="H58">
        <f t="shared" si="7"/>
        <v>11.514658394858285</v>
      </c>
    </row>
    <row r="59" spans="1:8" x14ac:dyDescent="0.25">
      <c r="A59">
        <v>59</v>
      </c>
      <c r="C59">
        <f t="shared" si="4"/>
        <v>9.7092289865999994</v>
      </c>
      <c r="D59">
        <f t="shared" si="5"/>
        <v>7.6898021382661872</v>
      </c>
      <c r="E59">
        <v>59</v>
      </c>
      <c r="G59">
        <f t="shared" si="6"/>
        <v>9.6434202912</v>
      </c>
      <c r="H59">
        <f t="shared" si="7"/>
        <v>11.653393999700924</v>
      </c>
    </row>
    <row r="60" spans="1:8" x14ac:dyDescent="0.25">
      <c r="A60">
        <v>60</v>
      </c>
      <c r="C60">
        <f t="shared" si="4"/>
        <v>9.8247536243000013</v>
      </c>
      <c r="D60">
        <f t="shared" si="5"/>
        <v>7.7885289077555449</v>
      </c>
      <c r="E60">
        <v>60</v>
      </c>
      <c r="G60">
        <f t="shared" si="6"/>
        <v>9.7649275376000002</v>
      </c>
      <c r="H60">
        <f t="shared" si="7"/>
        <v>11.792421188659008</v>
      </c>
    </row>
    <row r="61" spans="1:8" x14ac:dyDescent="0.25">
      <c r="A61">
        <v>61</v>
      </c>
      <c r="C61">
        <f t="shared" si="4"/>
        <v>9.9402782619999996</v>
      </c>
      <c r="D61">
        <f t="shared" si="5"/>
        <v>7.8870021629016005</v>
      </c>
      <c r="E61">
        <v>61</v>
      </c>
      <c r="G61">
        <f t="shared" si="6"/>
        <v>9.8864347840000004</v>
      </c>
      <c r="H61">
        <f t="shared" si="7"/>
        <v>11.931732468650766</v>
      </c>
    </row>
    <row r="62" spans="1:8" x14ac:dyDescent="0.25">
      <c r="A62">
        <v>62</v>
      </c>
      <c r="C62">
        <f t="shared" si="4"/>
        <v>10.0558028997</v>
      </c>
      <c r="D62">
        <f t="shared" si="5"/>
        <v>7.985228166840062</v>
      </c>
      <c r="E62">
        <v>62</v>
      </c>
      <c r="G62">
        <f t="shared" si="6"/>
        <v>10.007942030400001</v>
      </c>
      <c r="H62">
        <f t="shared" si="7"/>
        <v>12.071320485779566</v>
      </c>
    </row>
    <row r="63" spans="1:8" x14ac:dyDescent="0.25">
      <c r="A63">
        <v>63</v>
      </c>
      <c r="C63">
        <f t="shared" si="4"/>
        <v>10.1713275374</v>
      </c>
      <c r="D63">
        <f t="shared" si="5"/>
        <v>8.0832130644952365</v>
      </c>
      <c r="E63">
        <v>63</v>
      </c>
      <c r="G63">
        <f t="shared" si="6"/>
        <v>10.129449276799999</v>
      </c>
      <c r="H63">
        <f t="shared" si="7"/>
        <v>12.21117802929032</v>
      </c>
    </row>
    <row r="64" spans="1:8" x14ac:dyDescent="0.25">
      <c r="A64">
        <v>64</v>
      </c>
      <c r="C64">
        <f t="shared" si="4"/>
        <v>10.2868521751</v>
      </c>
      <c r="D64">
        <f t="shared" si="5"/>
        <v>8.1809628803084262</v>
      </c>
      <c r="E64">
        <v>64</v>
      </c>
      <c r="G64">
        <f t="shared" si="6"/>
        <v>10.250956523199999</v>
      </c>
      <c r="H64">
        <f t="shared" si="7"/>
        <v>12.351298034787778</v>
      </c>
    </row>
    <row r="65" spans="1:8" x14ac:dyDescent="0.25">
      <c r="A65">
        <v>65</v>
      </c>
      <c r="C65">
        <f t="shared" ref="C65:C70" si="8">3.0088+(A65-1)*0.1155246377</f>
        <v>10.4023768128</v>
      </c>
      <c r="D65">
        <f t="shared" ref="D65:D70" si="9">0+1*C65-1.58935970353146*(1.05555555555556+(C65-4.86444444444444)^2/42.0006444444445)^0.5</f>
        <v>8.2784835164575874</v>
      </c>
      <c r="E65">
        <v>65</v>
      </c>
      <c r="G65">
        <f t="shared" ref="G65:G70" si="10">2.596+(E65-1)*0.1215072464</f>
        <v>10.372463769599999</v>
      </c>
      <c r="H65">
        <f t="shared" ref="H65:H70" si="11">0+1*G65+1.58935970353146*(1.05555555555556+(G65-4.86444444444444)^2/42.0006444444445)^0.5</f>
        <v>12.491673586769204</v>
      </c>
    </row>
    <row r="66" spans="1:8" x14ac:dyDescent="0.25">
      <c r="A66">
        <v>66</v>
      </c>
      <c r="C66">
        <f t="shared" si="8"/>
        <v>10.5179014505</v>
      </c>
      <c r="D66">
        <f t="shared" si="9"/>
        <v>8.3757807515323162</v>
      </c>
      <c r="E66">
        <v>66</v>
      </c>
      <c r="G66">
        <f t="shared" si="10"/>
        <v>10.493971016</v>
      </c>
      <c r="H66">
        <f t="shared" si="11"/>
        <v>12.632297920523115</v>
      </c>
    </row>
    <row r="67" spans="1:8" x14ac:dyDescent="0.25">
      <c r="A67">
        <v>67</v>
      </c>
      <c r="C67">
        <f t="shared" si="8"/>
        <v>10.6334260882</v>
      </c>
      <c r="D67">
        <f t="shared" si="9"/>
        <v>8.4728602396292061</v>
      </c>
      <c r="E67">
        <v>67</v>
      </c>
      <c r="G67">
        <f t="shared" si="10"/>
        <v>10.6154782624</v>
      </c>
      <c r="H67">
        <f t="shared" si="11"/>
        <v>12.773164423444294</v>
      </c>
    </row>
    <row r="68" spans="1:8" x14ac:dyDescent="0.25">
      <c r="A68">
        <v>68</v>
      </c>
      <c r="C68">
        <f t="shared" si="8"/>
        <v>10.7489507259</v>
      </c>
      <c r="D68">
        <f t="shared" si="9"/>
        <v>8.5697275098337471</v>
      </c>
      <c r="E68">
        <v>68</v>
      </c>
      <c r="G68">
        <f t="shared" si="10"/>
        <v>10.7369855088</v>
      </c>
      <c r="H68">
        <f t="shared" si="11"/>
        <v>12.914266635813755</v>
      </c>
    </row>
    <row r="69" spans="1:8" x14ac:dyDescent="0.25">
      <c r="A69">
        <v>69</v>
      </c>
      <c r="C69">
        <f t="shared" si="8"/>
        <v>10.8644753636</v>
      </c>
      <c r="D69">
        <f t="shared" si="9"/>
        <v>8.6663879660561882</v>
      </c>
      <c r="E69">
        <v>69</v>
      </c>
      <c r="G69">
        <f t="shared" si="10"/>
        <v>10.8584927552</v>
      </c>
      <c r="H69">
        <f t="shared" si="11"/>
        <v>13.055598251090467</v>
      </c>
    </row>
    <row r="70" spans="1:8" x14ac:dyDescent="0.25">
      <c r="A70">
        <v>70</v>
      </c>
      <c r="C70">
        <f t="shared" si="8"/>
        <v>10.980000001299999</v>
      </c>
      <c r="D70">
        <f t="shared" si="9"/>
        <v>8.7628468871901983</v>
      </c>
      <c r="E70">
        <v>70</v>
      </c>
      <c r="G70">
        <f t="shared" si="10"/>
        <v>10.980000001600001</v>
      </c>
      <c r="H70">
        <f t="shared" si="11"/>
        <v>13.197153115759569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A25BF-E06F-4B7C-9FF8-D84526BD8888}">
  <sheetPr codeName="XLSTAT_20230621_084541_1_HID">
    <tabColor rgb="FF007800"/>
  </sheetPr>
  <dimension ref="A1:H70"/>
  <sheetViews>
    <sheetView workbookViewId="0">
      <selection activeCell="E1" sqref="E1"/>
    </sheetView>
  </sheetViews>
  <sheetFormatPr baseColWidth="10" defaultRowHeight="15" x14ac:dyDescent="0.25"/>
  <sheetData>
    <row r="1" spans="1:8" x14ac:dyDescent="0.25">
      <c r="A1">
        <v>1</v>
      </c>
      <c r="C1">
        <f t="shared" ref="C1:C32" si="0">10.88+(A1-1)*0.5379710145</f>
        <v>10.88</v>
      </c>
      <c r="D1">
        <f t="shared" ref="D1:D32" si="1">0+1*C1-6.24392122019306*(1.05555555555556+(C1-21.5)^2/1023)^0.5</f>
        <v>4.1382874799629628</v>
      </c>
      <c r="E1">
        <v>1</v>
      </c>
      <c r="G1">
        <f t="shared" ref="G1:G32" si="2">9.6+(E1-1)*0.5565217391</f>
        <v>9.6</v>
      </c>
      <c r="H1">
        <f t="shared" ref="H1:H32" si="3">0+1*G1+6.24392122019306*(1.05555555555556+(G1-21.5)^2/1023)^0.5</f>
        <v>16.422699754824119</v>
      </c>
    </row>
    <row r="2" spans="1:8" x14ac:dyDescent="0.25">
      <c r="A2">
        <v>2</v>
      </c>
      <c r="C2">
        <f t="shared" si="0"/>
        <v>11.417971014500001</v>
      </c>
      <c r="D2">
        <f t="shared" si="1"/>
        <v>4.7078105914790402</v>
      </c>
      <c r="E2">
        <v>2</v>
      </c>
      <c r="G2">
        <f t="shared" si="2"/>
        <v>10.1565217391</v>
      </c>
      <c r="H2">
        <f t="shared" si="3"/>
        <v>16.94299797664188</v>
      </c>
    </row>
    <row r="3" spans="1:8" x14ac:dyDescent="0.25">
      <c r="A3">
        <v>3</v>
      </c>
      <c r="C3">
        <f t="shared" si="0"/>
        <v>11.955942029000001</v>
      </c>
      <c r="D3">
        <f t="shared" si="1"/>
        <v>5.2758314640724171</v>
      </c>
      <c r="E3">
        <v>3</v>
      </c>
      <c r="G3">
        <f t="shared" si="2"/>
        <v>10.713043478199999</v>
      </c>
      <c r="H3">
        <f t="shared" si="3"/>
        <v>17.464850206915635</v>
      </c>
    </row>
    <row r="4" spans="1:8" x14ac:dyDescent="0.25">
      <c r="A4">
        <v>4</v>
      </c>
      <c r="C4">
        <f t="shared" si="0"/>
        <v>12.493913043500001</v>
      </c>
      <c r="D4">
        <f t="shared" si="1"/>
        <v>5.8423297377174581</v>
      </c>
      <c r="E4">
        <v>4</v>
      </c>
      <c r="G4">
        <f t="shared" si="2"/>
        <v>11.2695652173</v>
      </c>
      <c r="H4">
        <f t="shared" si="3"/>
        <v>17.988280502390197</v>
      </c>
    </row>
    <row r="5" spans="1:8" x14ac:dyDescent="0.25">
      <c r="A5">
        <v>5</v>
      </c>
      <c r="C5">
        <f t="shared" si="0"/>
        <v>13.031884058000001</v>
      </c>
      <c r="D5">
        <f t="shared" si="1"/>
        <v>6.4072857422528076</v>
      </c>
      <c r="E5">
        <v>5</v>
      </c>
      <c r="G5">
        <f t="shared" si="2"/>
        <v>11.826086956399999</v>
      </c>
      <c r="H5">
        <f t="shared" si="3"/>
        <v>18.51331229006756</v>
      </c>
    </row>
    <row r="6" spans="1:8" x14ac:dyDescent="0.25">
      <c r="A6">
        <v>6</v>
      </c>
      <c r="C6">
        <f t="shared" si="0"/>
        <v>13.569855072500001</v>
      </c>
      <c r="D6">
        <f t="shared" si="1"/>
        <v>6.9706805579592857</v>
      </c>
      <c r="E6">
        <v>6</v>
      </c>
      <c r="G6">
        <f t="shared" si="2"/>
        <v>12.3826086955</v>
      </c>
      <c r="H6">
        <f t="shared" si="3"/>
        <v>19.039968295623119</v>
      </c>
    </row>
    <row r="7" spans="1:8" x14ac:dyDescent="0.25">
      <c r="A7">
        <v>7</v>
      </c>
      <c r="C7">
        <f t="shared" si="0"/>
        <v>14.107826086999999</v>
      </c>
      <c r="D7">
        <f t="shared" si="1"/>
        <v>7.5324960755971926</v>
      </c>
      <c r="E7">
        <v>7</v>
      </c>
      <c r="G7">
        <f t="shared" si="2"/>
        <v>12.939130434599999</v>
      </c>
      <c r="H7">
        <f t="shared" si="3"/>
        <v>19.56827047146929</v>
      </c>
    </row>
    <row r="8" spans="1:8" x14ac:dyDescent="0.25">
      <c r="A8">
        <v>8</v>
      </c>
      <c r="C8">
        <f t="shared" si="0"/>
        <v>14.645797101500001</v>
      </c>
      <c r="D8">
        <f t="shared" si="1"/>
        <v>8.0927150555102827</v>
      </c>
      <c r="E8">
        <v>8</v>
      </c>
      <c r="G8">
        <f t="shared" si="2"/>
        <v>13.4956521737</v>
      </c>
      <c r="H8">
        <f t="shared" si="3"/>
        <v>20.098239924912477</v>
      </c>
    </row>
    <row r="9" spans="1:8" x14ac:dyDescent="0.25">
      <c r="A9">
        <v>9</v>
      </c>
      <c r="C9">
        <f t="shared" si="0"/>
        <v>15.183768116</v>
      </c>
      <c r="D9">
        <f t="shared" si="1"/>
        <v>8.6513211853913159</v>
      </c>
      <c r="E9">
        <v>9</v>
      </c>
      <c r="G9">
        <f t="shared" si="2"/>
        <v>14.052173912800001</v>
      </c>
      <c r="H9">
        <f t="shared" si="3"/>
        <v>20.629896846875621</v>
      </c>
    </row>
    <row r="10" spans="1:8" x14ac:dyDescent="0.25">
      <c r="A10">
        <v>10</v>
      </c>
      <c r="C10">
        <f t="shared" si="0"/>
        <v>15.721739130500001</v>
      </c>
      <c r="D10">
        <f t="shared" si="1"/>
        <v>9.2082991362962936</v>
      </c>
      <c r="E10">
        <v>10</v>
      </c>
      <c r="G10">
        <f t="shared" si="2"/>
        <v>14.6086956519</v>
      </c>
      <c r="H10">
        <f t="shared" si="3"/>
        <v>21.163260441680741</v>
      </c>
    </row>
    <row r="11" spans="1:8" x14ac:dyDescent="0.25">
      <c r="A11">
        <v>11</v>
      </c>
      <c r="C11">
        <f t="shared" si="0"/>
        <v>16.259710145</v>
      </c>
      <c r="D11">
        <f t="shared" si="1"/>
        <v>9.7636346164909877</v>
      </c>
      <c r="E11">
        <v>11</v>
      </c>
      <c r="G11">
        <f t="shared" si="2"/>
        <v>15.165217390999999</v>
      </c>
      <c r="H11">
        <f t="shared" si="3"/>
        <v>21.69834885840276</v>
      </c>
    </row>
    <row r="12" spans="1:8" x14ac:dyDescent="0.25">
      <c r="A12">
        <v>12</v>
      </c>
      <c r="C12">
        <f t="shared" si="0"/>
        <v>16.797681159500002</v>
      </c>
      <c r="D12">
        <f t="shared" si="1"/>
        <v>10.317314422715542</v>
      </c>
      <c r="E12">
        <v>12</v>
      </c>
      <c r="G12">
        <f t="shared" si="2"/>
        <v>15.7217391301</v>
      </c>
      <c r="H12">
        <f t="shared" si="3"/>
        <v>22.235179124317231</v>
      </c>
    </row>
    <row r="13" spans="1:8" x14ac:dyDescent="0.25">
      <c r="A13">
        <v>13</v>
      </c>
      <c r="C13">
        <f t="shared" si="0"/>
        <v>17.335652174</v>
      </c>
      <c r="D13">
        <f t="shared" si="1"/>
        <v>10.869326488459645</v>
      </c>
      <c r="E13">
        <v>13</v>
      </c>
      <c r="G13">
        <f t="shared" si="2"/>
        <v>16.2782608692</v>
      </c>
      <c r="H13">
        <f t="shared" si="3"/>
        <v>22.773767080969385</v>
      </c>
    </row>
    <row r="14" spans="1:8" x14ac:dyDescent="0.25">
      <c r="A14">
        <v>14</v>
      </c>
      <c r="C14">
        <f t="shared" si="0"/>
        <v>17.873623188499998</v>
      </c>
      <c r="D14">
        <f t="shared" si="1"/>
        <v>11.419659928853797</v>
      </c>
      <c r="E14">
        <v>14</v>
      </c>
      <c r="G14">
        <f t="shared" si="2"/>
        <v>16.834782608299999</v>
      </c>
      <c r="H14">
        <f t="shared" si="3"/>
        <v>23.314127323390139</v>
      </c>
    </row>
    <row r="15" spans="1:8" x14ac:dyDescent="0.25">
      <c r="A15">
        <v>15</v>
      </c>
      <c r="C15">
        <f t="shared" si="0"/>
        <v>18.411594203</v>
      </c>
      <c r="D15">
        <f t="shared" si="1"/>
        <v>11.968305081799965</v>
      </c>
      <c r="E15">
        <v>15</v>
      </c>
      <c r="G15">
        <f t="shared" si="2"/>
        <v>17.391304347400002</v>
      </c>
      <c r="H15">
        <f t="shared" si="3"/>
        <v>23.856273142975432</v>
      </c>
    </row>
    <row r="16" spans="1:8" x14ac:dyDescent="0.25">
      <c r="A16">
        <v>16</v>
      </c>
      <c r="C16">
        <f t="shared" si="0"/>
        <v>18.949565217500002</v>
      </c>
      <c r="D16">
        <f t="shared" si="1"/>
        <v>12.515253544988791</v>
      </c>
      <c r="E16">
        <v>16</v>
      </c>
      <c r="G16">
        <f t="shared" si="2"/>
        <v>17.947826086500001</v>
      </c>
      <c r="H16">
        <f t="shared" si="3"/>
        <v>24.400216474528861</v>
      </c>
    </row>
    <row r="17" spans="1:8" x14ac:dyDescent="0.25">
      <c r="A17">
        <v>17</v>
      </c>
      <c r="C17">
        <f t="shared" si="0"/>
        <v>19.487536232</v>
      </c>
      <c r="D17">
        <f t="shared" si="1"/>
        <v>13.060498208479295</v>
      </c>
      <c r="E17">
        <v>17</v>
      </c>
      <c r="G17">
        <f t="shared" si="2"/>
        <v>18.5043478256</v>
      </c>
      <c r="H17">
        <f t="shared" si="3"/>
        <v>24.945967847943457</v>
      </c>
    </row>
    <row r="18" spans="1:8" x14ac:dyDescent="0.25">
      <c r="A18">
        <v>18</v>
      </c>
      <c r="C18">
        <f t="shared" si="0"/>
        <v>20.025507246499998</v>
      </c>
      <c r="D18">
        <f t="shared" si="1"/>
        <v>13.604033282550953</v>
      </c>
      <c r="E18">
        <v>18</v>
      </c>
      <c r="G18">
        <f t="shared" si="2"/>
        <v>19.060869564699999</v>
      </c>
      <c r="H18">
        <f t="shared" si="3"/>
        <v>25.493536344967005</v>
      </c>
    </row>
    <row r="19" spans="1:8" x14ac:dyDescent="0.25">
      <c r="A19">
        <v>19</v>
      </c>
      <c r="C19">
        <f t="shared" si="0"/>
        <v>20.563478261</v>
      </c>
      <c r="D19">
        <f t="shared" si="1"/>
        <v>14.14585432057644</v>
      </c>
      <c r="E19">
        <v>19</v>
      </c>
      <c r="G19">
        <f t="shared" si="2"/>
        <v>19.617391303799998</v>
      </c>
      <c r="H19">
        <f t="shared" si="3"/>
        <v>26.042929561456781</v>
      </c>
    </row>
    <row r="20" spans="1:8" x14ac:dyDescent="0.25">
      <c r="A20">
        <v>20</v>
      </c>
      <c r="C20">
        <f t="shared" si="0"/>
        <v>21.101449275500002</v>
      </c>
      <c r="D20">
        <f t="shared" si="1"/>
        <v>14.685958236705901</v>
      </c>
      <c r="E20">
        <v>20</v>
      </c>
      <c r="G20">
        <f t="shared" si="2"/>
        <v>20.173913042900001</v>
      </c>
      <c r="H20">
        <f t="shared" si="3"/>
        <v>26.594153575484192</v>
      </c>
    </row>
    <row r="21" spans="1:8" x14ac:dyDescent="0.25">
      <c r="A21">
        <v>21</v>
      </c>
      <c r="C21">
        <f t="shared" si="0"/>
        <v>21.63942029</v>
      </c>
      <c r="D21">
        <f t="shared" si="1"/>
        <v>15.224343318199523</v>
      </c>
      <c r="E21">
        <v>21</v>
      </c>
      <c r="G21">
        <f t="shared" si="2"/>
        <v>20.730434782</v>
      </c>
      <c r="H21">
        <f t="shared" si="3"/>
        <v>27.147212921598456</v>
      </c>
    </row>
    <row r="22" spans="1:8" x14ac:dyDescent="0.25">
      <c r="A22">
        <v>22</v>
      </c>
      <c r="C22">
        <f t="shared" si="0"/>
        <v>22.177391304499999</v>
      </c>
      <c r="D22">
        <f t="shared" si="1"/>
        <v>15.761009232293745</v>
      </c>
      <c r="E22">
        <v>22</v>
      </c>
      <c r="G22">
        <f t="shared" si="2"/>
        <v>21.286956521100002</v>
      </c>
      <c r="H22">
        <f t="shared" si="3"/>
        <v>27.702110571501755</v>
      </c>
    </row>
    <row r="23" spans="1:8" x14ac:dyDescent="0.25">
      <c r="A23">
        <v>23</v>
      </c>
      <c r="C23">
        <f t="shared" si="0"/>
        <v>22.715362319</v>
      </c>
      <c r="D23">
        <f t="shared" si="1"/>
        <v>16.295957027537057</v>
      </c>
      <c r="E23">
        <v>23</v>
      </c>
      <c r="G23">
        <f t="shared" si="2"/>
        <v>21.843478260200001</v>
      </c>
      <c r="H23">
        <f t="shared" si="3"/>
        <v>28.258847921327025</v>
      </c>
    </row>
    <row r="24" spans="1:8" x14ac:dyDescent="0.25">
      <c r="A24">
        <v>24</v>
      </c>
      <c r="C24">
        <f t="shared" si="0"/>
        <v>23.253333333500002</v>
      </c>
      <c r="D24">
        <f t="shared" si="1"/>
        <v>16.829189129582822</v>
      </c>
      <c r="E24">
        <v>24</v>
      </c>
      <c r="G24">
        <f t="shared" si="2"/>
        <v>22.3999999993</v>
      </c>
      <c r="H24">
        <f t="shared" si="3"/>
        <v>28.817424785645208</v>
      </c>
    </row>
    <row r="25" spans="1:8" x14ac:dyDescent="0.25">
      <c r="A25">
        <v>25</v>
      </c>
      <c r="C25">
        <f t="shared" si="0"/>
        <v>23.791304347999997</v>
      </c>
      <c r="D25">
        <f t="shared" si="1"/>
        <v>17.360709331478546</v>
      </c>
      <c r="E25">
        <v>25</v>
      </c>
      <c r="G25">
        <f t="shared" si="2"/>
        <v>22.956521738399999</v>
      </c>
      <c r="H25">
        <f t="shared" si="3"/>
        <v>29.377839398261742</v>
      </c>
    </row>
    <row r="26" spans="1:8" x14ac:dyDescent="0.25">
      <c r="A26">
        <v>26</v>
      </c>
      <c r="C26">
        <f t="shared" si="0"/>
        <v>24.329275362499999</v>
      </c>
      <c r="D26">
        <f t="shared" si="1"/>
        <v>17.890522778541985</v>
      </c>
      <c r="E26">
        <v>26</v>
      </c>
      <c r="G26">
        <f t="shared" si="2"/>
        <v>23.513043477499998</v>
      </c>
      <c r="H26">
        <f t="shared" si="3"/>
        <v>29.940088419794428</v>
      </c>
    </row>
    <row r="27" spans="1:8" x14ac:dyDescent="0.25">
      <c r="A27">
        <v>27</v>
      </c>
      <c r="C27">
        <f t="shared" si="0"/>
        <v>24.867246377000001</v>
      </c>
      <c r="D27">
        <f t="shared" si="1"/>
        <v>18.418635947964212</v>
      </c>
      <c r="E27">
        <v>27</v>
      </c>
      <c r="G27">
        <f t="shared" si="2"/>
        <v>24.069565216600001</v>
      </c>
      <c r="H27">
        <f t="shared" si="3"/>
        <v>30.504166951956918</v>
      </c>
    </row>
    <row r="28" spans="1:8" x14ac:dyDescent="0.25">
      <c r="A28">
        <v>28</v>
      </c>
      <c r="C28">
        <f t="shared" si="0"/>
        <v>25.405217391499999</v>
      </c>
      <c r="D28">
        <f t="shared" si="1"/>
        <v>18.945056623327133</v>
      </c>
      <c r="E28">
        <v>28</v>
      </c>
      <c r="G28">
        <f t="shared" si="2"/>
        <v>24.6260869557</v>
      </c>
      <c r="H28">
        <f t="shared" si="3"/>
        <v>31.070068558405723</v>
      </c>
    </row>
    <row r="29" spans="1:8" x14ac:dyDescent="0.25">
      <c r="A29">
        <v>29</v>
      </c>
      <c r="C29">
        <f t="shared" si="0"/>
        <v>25.943188405999997</v>
      </c>
      <c r="D29">
        <f t="shared" si="1"/>
        <v>19.469793864267032</v>
      </c>
      <c r="E29">
        <v>29</v>
      </c>
      <c r="G29">
        <f t="shared" si="2"/>
        <v>25.182608694800003</v>
      </c>
      <c r="H29">
        <f t="shared" si="3"/>
        <v>31.637785291944887</v>
      </c>
    </row>
    <row r="30" spans="1:8" x14ac:dyDescent="0.25">
      <c r="A30">
        <v>30</v>
      </c>
      <c r="C30">
        <f t="shared" si="0"/>
        <v>26.481159420499999</v>
      </c>
      <c r="D30">
        <f t="shared" si="1"/>
        <v>19.992857971556361</v>
      </c>
      <c r="E30">
        <v>30</v>
      </c>
      <c r="G30">
        <f t="shared" si="2"/>
        <v>25.739130433900002</v>
      </c>
      <c r="H30">
        <f t="shared" si="3"/>
        <v>32.20730772782214</v>
      </c>
    </row>
    <row r="31" spans="1:8" x14ac:dyDescent="0.25">
      <c r="A31">
        <v>31</v>
      </c>
      <c r="C31">
        <f t="shared" si="0"/>
        <v>27.019130435000001</v>
      </c>
      <c r="D31">
        <f t="shared" si="1"/>
        <v>20.514260447912044</v>
      </c>
      <c r="E31">
        <v>31</v>
      </c>
      <c r="G31">
        <f t="shared" si="2"/>
        <v>26.295652173000001</v>
      </c>
      <c r="H31">
        <f t="shared" si="3"/>
        <v>32.778625002794875</v>
      </c>
    </row>
    <row r="32" spans="1:8" x14ac:dyDescent="0.25">
      <c r="A32">
        <v>32</v>
      </c>
      <c r="C32">
        <f t="shared" si="0"/>
        <v>27.557101449500003</v>
      </c>
      <c r="D32">
        <f t="shared" si="1"/>
        <v>21.034013954869959</v>
      </c>
      <c r="E32">
        <v>32</v>
      </c>
      <c r="G32">
        <f t="shared" si="2"/>
        <v>26.8521739121</v>
      </c>
      <c r="H32">
        <f t="shared" si="3"/>
        <v>33.351724859594206</v>
      </c>
    </row>
    <row r="33" spans="1:8" x14ac:dyDescent="0.25">
      <c r="A33">
        <v>33</v>
      </c>
      <c r="C33">
        <f t="shared" ref="C33:C64" si="4">10.88+(A33-1)*0.5379710145</f>
        <v>28.095072463999998</v>
      </c>
      <c r="D33">
        <f t="shared" ref="D33:D64" si="5">0+1*C33-6.24392122019306*(1.05555555555556+(C33-21.5)^2/1023)^0.5</f>
        <v>21.552132266091441</v>
      </c>
      <c r="E33">
        <v>33</v>
      </c>
      <c r="G33">
        <f t="shared" ref="G33:G64" si="6">9.6+(E33-1)*0.5565217391</f>
        <v>27.408695651199999</v>
      </c>
      <c r="H33">
        <f t="shared" ref="H33:H64" si="7">0+1*G33+6.24392122019306*(1.05555555555556+(G33-21.5)^2/1023)^0.5</f>
        <v>33.926593696371683</v>
      </c>
    </row>
    <row r="34" spans="1:8" x14ac:dyDescent="0.25">
      <c r="A34">
        <v>34</v>
      </c>
      <c r="C34">
        <f t="shared" si="4"/>
        <v>28.633043478499999</v>
      </c>
      <c r="D34">
        <f t="shared" si="5"/>
        <v>22.068630217488469</v>
      </c>
      <c r="E34">
        <v>34</v>
      </c>
      <c r="G34">
        <f t="shared" si="6"/>
        <v>27.965217390299998</v>
      </c>
      <c r="H34">
        <f t="shared" si="7"/>
        <v>34.503216620676106</v>
      </c>
    </row>
    <row r="35" spans="1:8" x14ac:dyDescent="0.25">
      <c r="A35">
        <v>35</v>
      </c>
      <c r="C35">
        <f t="shared" si="4"/>
        <v>29.171014493000001</v>
      </c>
      <c r="D35">
        <f t="shared" si="5"/>
        <v>22.583523654569326</v>
      </c>
      <c r="E35">
        <v>35</v>
      </c>
      <c r="G35">
        <f t="shared" si="6"/>
        <v>28.521739129400004</v>
      </c>
      <c r="H35">
        <f t="shared" si="7"/>
        <v>35.081577507478386</v>
      </c>
    </row>
    <row r="36" spans="1:8" x14ac:dyDescent="0.25">
      <c r="A36">
        <v>36</v>
      </c>
      <c r="C36">
        <f t="shared" si="4"/>
        <v>29.708985507499996</v>
      </c>
      <c r="D36">
        <f t="shared" si="5"/>
        <v>23.096829377416576</v>
      </c>
      <c r="E36">
        <v>36</v>
      </c>
      <c r="G36">
        <f t="shared" si="6"/>
        <v>29.078260868500003</v>
      </c>
      <c r="H36">
        <f t="shared" si="7"/>
        <v>35.661659060739865</v>
      </c>
    </row>
    <row r="37" spans="1:8" x14ac:dyDescent="0.25">
      <c r="A37">
        <v>37</v>
      </c>
      <c r="C37">
        <f t="shared" si="4"/>
        <v>30.246956521999998</v>
      </c>
      <c r="D37">
        <f t="shared" si="5"/>
        <v>23.608565083713234</v>
      </c>
      <c r="E37">
        <v>37</v>
      </c>
      <c r="G37">
        <f t="shared" si="6"/>
        <v>29.634782607600002</v>
      </c>
      <c r="H37">
        <f t="shared" si="7"/>
        <v>36.243442878005027</v>
      </c>
    </row>
    <row r="38" spans="1:8" x14ac:dyDescent="0.25">
      <c r="A38">
        <v>38</v>
      </c>
      <c r="C38">
        <f t="shared" si="4"/>
        <v>30.7849275365</v>
      </c>
      <c r="D38">
        <f t="shared" si="5"/>
        <v>24.118749310232278</v>
      </c>
      <c r="E38">
        <v>38</v>
      </c>
      <c r="G38">
        <f t="shared" si="6"/>
        <v>30.191304346700001</v>
      </c>
      <c r="H38">
        <f t="shared" si="7"/>
        <v>36.826909517491764</v>
      </c>
    </row>
    <row r="39" spans="1:8" x14ac:dyDescent="0.25">
      <c r="A39">
        <v>39</v>
      </c>
      <c r="C39">
        <f t="shared" si="4"/>
        <v>31.322898551000002</v>
      </c>
      <c r="D39">
        <f t="shared" si="5"/>
        <v>24.62740137319906</v>
      </c>
      <c r="E39">
        <v>39</v>
      </c>
      <c r="G39">
        <f t="shared" si="6"/>
        <v>30.7478260858</v>
      </c>
      <c r="H39">
        <f t="shared" si="7"/>
        <v>37.412038567152358</v>
      </c>
    </row>
    <row r="40" spans="1:8" x14ac:dyDescent="0.25">
      <c r="A40">
        <v>40</v>
      </c>
      <c r="C40">
        <f t="shared" si="4"/>
        <v>31.860869565499996</v>
      </c>
      <c r="D40">
        <f t="shared" si="5"/>
        <v>25.134541307925698</v>
      </c>
      <c r="E40">
        <v>40</v>
      </c>
      <c r="G40">
        <f t="shared" si="6"/>
        <v>31.304347824899999</v>
      </c>
      <c r="H40">
        <f t="shared" si="7"/>
        <v>37.998808715184772</v>
      </c>
    </row>
    <row r="41" spans="1:8" x14ac:dyDescent="0.25">
      <c r="A41">
        <v>41</v>
      </c>
      <c r="C41">
        <f t="shared" si="4"/>
        <v>32.398840579999998</v>
      </c>
      <c r="D41">
        <f t="shared" si="5"/>
        <v>25.640189808102384</v>
      </c>
      <c r="E41">
        <v>41</v>
      </c>
      <c r="G41">
        <f t="shared" si="6"/>
        <v>31.860869563999998</v>
      </c>
      <c r="H41">
        <f t="shared" si="7"/>
        <v>38.587197821486242</v>
      </c>
    </row>
    <row r="42" spans="1:8" x14ac:dyDescent="0.25">
      <c r="A42">
        <v>42</v>
      </c>
      <c r="C42">
        <f t="shared" si="4"/>
        <v>32.9368115945</v>
      </c>
      <c r="D42">
        <f t="shared" si="5"/>
        <v>26.144368165112489</v>
      </c>
      <c r="E42">
        <v>42</v>
      </c>
      <c r="G42">
        <f t="shared" si="6"/>
        <v>32.417391303100004</v>
      </c>
      <c r="H42">
        <f t="shared" si="7"/>
        <v>39.177182989559668</v>
      </c>
    </row>
    <row r="43" spans="1:8" x14ac:dyDescent="0.25">
      <c r="A43">
        <v>43</v>
      </c>
      <c r="C43">
        <f t="shared" si="4"/>
        <v>33.474782609000002</v>
      </c>
      <c r="D43">
        <f t="shared" si="5"/>
        <v>26.647098207717633</v>
      </c>
      <c r="E43">
        <v>43</v>
      </c>
      <c r="G43">
        <f t="shared" si="6"/>
        <v>32.973913042200003</v>
      </c>
      <c r="H43">
        <f t="shared" si="7"/>
        <v>39.768740638406264</v>
      </c>
    </row>
    <row r="44" spans="1:8" x14ac:dyDescent="0.25">
      <c r="A44">
        <v>44</v>
      </c>
      <c r="C44">
        <f t="shared" si="4"/>
        <v>34.012753623499997</v>
      </c>
      <c r="D44">
        <f t="shared" si="5"/>
        <v>27.148402242435129</v>
      </c>
      <c r="E44">
        <v>44</v>
      </c>
      <c r="G44">
        <f t="shared" si="6"/>
        <v>33.530434781300002</v>
      </c>
      <c r="H44">
        <f t="shared" si="7"/>
        <v>40.361846573965465</v>
      </c>
    </row>
    <row r="45" spans="1:8" x14ac:dyDescent="0.25">
      <c r="A45">
        <v>45</v>
      </c>
      <c r="C45">
        <f t="shared" si="4"/>
        <v>34.550724637999998</v>
      </c>
      <c r="D45">
        <f t="shared" si="5"/>
        <v>27.648302994904924</v>
      </c>
      <c r="E45">
        <v>45</v>
      </c>
      <c r="G45">
        <f t="shared" si="6"/>
        <v>34.086956520400001</v>
      </c>
      <c r="H45">
        <f t="shared" si="7"/>
        <v>40.956476059693642</v>
      </c>
    </row>
    <row r="46" spans="1:8" x14ac:dyDescent="0.25">
      <c r="A46">
        <v>46</v>
      </c>
      <c r="C46">
        <f t="shared" si="4"/>
        <v>35.0886956525</v>
      </c>
      <c r="D46">
        <f t="shared" si="5"/>
        <v>28.146823552516082</v>
      </c>
      <c r="E46">
        <v>46</v>
      </c>
      <c r="G46">
        <f t="shared" si="6"/>
        <v>34.6434782595</v>
      </c>
      <c r="H46">
        <f t="shared" si="7"/>
        <v>41.552603885906805</v>
      </c>
    </row>
    <row r="47" spans="1:8" x14ac:dyDescent="0.25">
      <c r="A47">
        <v>47</v>
      </c>
      <c r="C47">
        <f t="shared" si="4"/>
        <v>35.626666667000002</v>
      </c>
      <c r="D47">
        <f t="shared" si="5"/>
        <v>28.643987308535188</v>
      </c>
      <c r="E47">
        <v>47</v>
      </c>
      <c r="G47">
        <f t="shared" si="6"/>
        <v>35.199999998599999</v>
      </c>
      <c r="H47">
        <f t="shared" si="7"/>
        <v>42.150204437547885</v>
      </c>
    </row>
    <row r="48" spans="1:8" x14ac:dyDescent="0.25">
      <c r="A48">
        <v>48</v>
      </c>
      <c r="C48">
        <f t="shared" si="4"/>
        <v>36.164637681499997</v>
      </c>
      <c r="D48">
        <f t="shared" si="5"/>
        <v>29.139817907950384</v>
      </c>
      <c r="E48">
        <v>48</v>
      </c>
      <c r="G48">
        <f t="shared" si="6"/>
        <v>35.756521737699998</v>
      </c>
      <c r="H48">
        <f t="shared" si="7"/>
        <v>42.749251760075829</v>
      </c>
    </row>
    <row r="49" spans="1:8" x14ac:dyDescent="0.25">
      <c r="A49">
        <v>49</v>
      </c>
      <c r="C49">
        <f t="shared" si="4"/>
        <v>36.702608695999999</v>
      </c>
      <c r="D49">
        <f t="shared" si="5"/>
        <v>29.634339195216633</v>
      </c>
      <c r="E49">
        <v>49</v>
      </c>
      <c r="G49">
        <f t="shared" si="6"/>
        <v>36.313043476800004</v>
      </c>
      <c r="H49">
        <f t="shared" si="7"/>
        <v>43.349719623210852</v>
      </c>
    </row>
    <row r="50" spans="1:8" x14ac:dyDescent="0.25">
      <c r="A50">
        <v>50</v>
      </c>
      <c r="C50">
        <f t="shared" si="4"/>
        <v>37.2405797105</v>
      </c>
      <c r="D50">
        <f t="shared" si="5"/>
        <v>30.127575164059543</v>
      </c>
      <c r="E50">
        <v>50</v>
      </c>
      <c r="G50">
        <f t="shared" si="6"/>
        <v>36.869565215900003</v>
      </c>
      <c r="H50">
        <f t="shared" si="7"/>
        <v>43.951581582307547</v>
      </c>
    </row>
    <row r="51" spans="1:8" x14ac:dyDescent="0.25">
      <c r="A51">
        <v>51</v>
      </c>
      <c r="C51">
        <f t="shared" si="4"/>
        <v>37.778550724999995</v>
      </c>
      <c r="D51">
        <f t="shared" si="5"/>
        <v>30.619549909467949</v>
      </c>
      <c r="E51">
        <v>51</v>
      </c>
      <c r="G51">
        <f t="shared" si="6"/>
        <v>37.426086955000002</v>
      </c>
      <c r="H51">
        <f t="shared" si="7"/>
        <v>44.554811037164129</v>
      </c>
    </row>
    <row r="52" spans="1:8" x14ac:dyDescent="0.25">
      <c r="A52">
        <v>52</v>
      </c>
      <c r="C52">
        <f t="shared" si="4"/>
        <v>38.316521739499997</v>
      </c>
      <c r="D52">
        <f t="shared" si="5"/>
        <v>31.110287581979023</v>
      </c>
      <c r="E52">
        <v>52</v>
      </c>
      <c r="G52">
        <f t="shared" si="6"/>
        <v>37.982608694100001</v>
      </c>
      <c r="H52">
        <f t="shared" si="7"/>
        <v>45.159381288111533</v>
      </c>
    </row>
    <row r="53" spans="1:8" x14ac:dyDescent="0.25">
      <c r="A53">
        <v>53</v>
      </c>
      <c r="C53">
        <f t="shared" si="4"/>
        <v>38.854492753999999</v>
      </c>
      <c r="D53">
        <f t="shared" si="5"/>
        <v>31.599812344334584</v>
      </c>
      <c r="E53">
        <v>53</v>
      </c>
      <c r="G53">
        <f t="shared" si="6"/>
        <v>38.5391304332</v>
      </c>
      <c r="H53">
        <f t="shared" si="7"/>
        <v>45.765265589260181</v>
      </c>
    </row>
    <row r="54" spans="1:8" x14ac:dyDescent="0.25">
      <c r="A54">
        <v>54</v>
      </c>
      <c r="C54">
        <f t="shared" si="4"/>
        <v>39.392463768500001</v>
      </c>
      <c r="D54">
        <f t="shared" si="5"/>
        <v>32.088148330563882</v>
      </c>
      <c r="E54">
        <v>54</v>
      </c>
      <c r="G54">
        <f t="shared" si="6"/>
        <v>39.095652172299999</v>
      </c>
      <c r="H54">
        <f t="shared" si="7"/>
        <v>46.372437198814694</v>
      </c>
    </row>
    <row r="55" spans="1:8" x14ac:dyDescent="0.25">
      <c r="A55">
        <v>55</v>
      </c>
      <c r="C55">
        <f t="shared" si="4"/>
        <v>39.930434782999995</v>
      </c>
      <c r="D55">
        <f t="shared" si="5"/>
        <v>32.575319607525969</v>
      </c>
      <c r="E55">
        <v>55</v>
      </c>
      <c r="G55">
        <f t="shared" si="6"/>
        <v>39.652173911399998</v>
      </c>
      <c r="H55">
        <f t="shared" si="7"/>
        <v>46.980869426396765</v>
      </c>
    </row>
    <row r="56" spans="1:8" x14ac:dyDescent="0.25">
      <c r="A56">
        <v>56</v>
      </c>
      <c r="C56">
        <f t="shared" si="4"/>
        <v>40.468405797499997</v>
      </c>
      <c r="D56">
        <f t="shared" si="5"/>
        <v>33.061350138924702</v>
      </c>
      <c r="E56">
        <v>56</v>
      </c>
      <c r="G56">
        <f t="shared" si="6"/>
        <v>40.208695650499997</v>
      </c>
      <c r="H56">
        <f t="shared" si="7"/>
        <v>47.590535677344569</v>
      </c>
    </row>
    <row r="57" spans="1:8" x14ac:dyDescent="0.25">
      <c r="A57">
        <v>57</v>
      </c>
      <c r="C57">
        <f t="shared" si="4"/>
        <v>41.006376811999999</v>
      </c>
      <c r="D57">
        <f t="shared" si="5"/>
        <v>33.546263751790796</v>
      </c>
      <c r="E57">
        <v>57</v>
      </c>
      <c r="G57">
        <f t="shared" si="6"/>
        <v>40.765217389600004</v>
      </c>
      <c r="H57">
        <f t="shared" si="7"/>
        <v>48.201409493982553</v>
      </c>
    </row>
    <row r="58" spans="1:8" x14ac:dyDescent="0.25">
      <c r="A58">
        <v>58</v>
      </c>
      <c r="C58">
        <f t="shared" si="4"/>
        <v>41.544347826500001</v>
      </c>
      <c r="D58">
        <f t="shared" si="5"/>
        <v>34.030084105409088</v>
      </c>
      <c r="E58">
        <v>58</v>
      </c>
      <c r="G58">
        <f t="shared" si="6"/>
        <v>41.321739128700003</v>
      </c>
      <c r="H58">
        <f t="shared" si="7"/>
        <v>48.813464593878486</v>
      </c>
    </row>
    <row r="59" spans="1:8" x14ac:dyDescent="0.25">
      <c r="A59">
        <v>59</v>
      </c>
      <c r="C59">
        <f t="shared" si="4"/>
        <v>42.082318840999996</v>
      </c>
      <c r="D59">
        <f t="shared" si="5"/>
        <v>34.512834662654029</v>
      </c>
      <c r="E59">
        <v>59</v>
      </c>
      <c r="G59">
        <f t="shared" si="6"/>
        <v>41.878260867800002</v>
      </c>
      <c r="H59">
        <f t="shared" si="7"/>
        <v>49.426674905125445</v>
      </c>
    </row>
    <row r="60" spans="1:8" x14ac:dyDescent="0.25">
      <c r="A60">
        <v>60</v>
      </c>
      <c r="C60">
        <f t="shared" si="4"/>
        <v>42.620289855499998</v>
      </c>
      <c r="D60">
        <f t="shared" si="5"/>
        <v>34.994538663683919</v>
      </c>
      <c r="E60">
        <v>60</v>
      </c>
      <c r="G60">
        <f t="shared" si="6"/>
        <v>42.434782606900001</v>
      </c>
      <c r="H60">
        <f t="shared" si="7"/>
        <v>50.041014598704194</v>
      </c>
    </row>
    <row r="61" spans="1:8" x14ac:dyDescent="0.25">
      <c r="A61">
        <v>61</v>
      </c>
      <c r="C61">
        <f t="shared" si="4"/>
        <v>43.158260869999999</v>
      </c>
      <c r="D61">
        <f t="shared" si="5"/>
        <v>35.475219101932716</v>
      </c>
      <c r="E61">
        <v>61</v>
      </c>
      <c r="G61">
        <f t="shared" si="6"/>
        <v>42.991304346</v>
      </c>
      <c r="H61">
        <f t="shared" si="7"/>
        <v>50.656458117997339</v>
      </c>
    </row>
    <row r="62" spans="1:8" x14ac:dyDescent="0.25">
      <c r="A62">
        <v>62</v>
      </c>
      <c r="C62">
        <f t="shared" si="4"/>
        <v>43.696231884500001</v>
      </c>
      <c r="D62">
        <f t="shared" si="5"/>
        <v>35.954898702329366</v>
      </c>
      <c r="E62">
        <v>62</v>
      </c>
      <c r="G62">
        <f t="shared" si="6"/>
        <v>43.547826085100006</v>
      </c>
      <c r="H62">
        <f t="shared" si="7"/>
        <v>51.272980205539945</v>
      </c>
    </row>
    <row r="63" spans="1:8" x14ac:dyDescent="0.25">
      <c r="A63">
        <v>63</v>
      </c>
      <c r="C63">
        <f t="shared" si="4"/>
        <v>44.234202899000003</v>
      </c>
      <c r="D63">
        <f t="shared" si="5"/>
        <v>36.433599901666177</v>
      </c>
      <c r="E63">
        <v>63</v>
      </c>
      <c r="G63">
        <f t="shared" si="6"/>
        <v>44.104347824200005</v>
      </c>
      <c r="H63">
        <f t="shared" si="7"/>
        <v>51.890555927102277</v>
      </c>
    </row>
    <row r="64" spans="1:8" x14ac:dyDescent="0.25">
      <c r="A64">
        <v>64</v>
      </c>
      <c r="C64">
        <f t="shared" si="4"/>
        <v>44.772173913499998</v>
      </c>
      <c r="D64">
        <f t="shared" si="5"/>
        <v>36.911344831031762</v>
      </c>
      <c r="E64">
        <v>64</v>
      </c>
      <c r="G64">
        <f t="shared" si="6"/>
        <v>44.660869563300004</v>
      </c>
      <c r="H64">
        <f t="shared" si="7"/>
        <v>52.509160693209594</v>
      </c>
    </row>
    <row r="65" spans="1:8" x14ac:dyDescent="0.25">
      <c r="A65">
        <v>65</v>
      </c>
      <c r="C65">
        <f t="shared" ref="C65:C70" si="8">10.88+(A65-1)*0.5379710145</f>
        <v>45.310144928</v>
      </c>
      <c r="D65">
        <f t="shared" ref="D65:D70" si="9">0+1*C65-6.24392122019306*(1.05555555555556+(C65-21.5)^2/1023)^0.5</f>
        <v>37.388155300218926</v>
      </c>
      <c r="E65">
        <v>65</v>
      </c>
      <c r="G65">
        <f t="shared" ref="G65:G70" si="10">9.6+(E65-1)*0.5565217391</f>
        <v>45.217391302400003</v>
      </c>
      <c r="H65">
        <f t="shared" ref="H65:H70" si="11">0+1*G65+6.24392122019306*(1.05555555555556+(G65-21.5)^2/1023)^0.5</f>
        <v>53.128770278210716</v>
      </c>
    </row>
    <row r="66" spans="1:8" x14ac:dyDescent="0.25">
      <c r="A66">
        <v>66</v>
      </c>
      <c r="C66">
        <f t="shared" si="8"/>
        <v>45.848115942500002</v>
      </c>
      <c r="D66">
        <f t="shared" si="9"/>
        <v>37.864052784014149</v>
      </c>
      <c r="E66">
        <v>66</v>
      </c>
      <c r="G66">
        <f t="shared" si="10"/>
        <v>45.773913041500002</v>
      </c>
      <c r="H66">
        <f t="shared" si="11"/>
        <v>53.749360837012659</v>
      </c>
    </row>
    <row r="67" spans="1:8" x14ac:dyDescent="0.25">
      <c r="A67">
        <v>67</v>
      </c>
      <c r="C67">
        <f t="shared" si="8"/>
        <v>46.386086956999996</v>
      </c>
      <c r="D67">
        <f t="shared" si="9"/>
        <v>38.339058410273019</v>
      </c>
      <c r="E67">
        <v>67</v>
      </c>
      <c r="G67">
        <f t="shared" si="10"/>
        <v>46.330434780600001</v>
      </c>
      <c r="H67">
        <f t="shared" si="11"/>
        <v>54.370908919602087</v>
      </c>
    </row>
    <row r="68" spans="1:8" x14ac:dyDescent="0.25">
      <c r="A68">
        <v>68</v>
      </c>
      <c r="C68">
        <f t="shared" si="8"/>
        <v>46.924057971499998</v>
      </c>
      <c r="D68">
        <f t="shared" si="9"/>
        <v>38.813192949684243</v>
      </c>
      <c r="E68">
        <v>68</v>
      </c>
      <c r="G68">
        <f t="shared" si="10"/>
        <v>46.8869565197</v>
      </c>
      <c r="H68">
        <f t="shared" si="11"/>
        <v>54.993391483476657</v>
      </c>
    </row>
    <row r="69" spans="1:8" x14ac:dyDescent="0.25">
      <c r="A69">
        <v>69</v>
      </c>
      <c r="C69">
        <f t="shared" si="8"/>
        <v>47.462028986</v>
      </c>
      <c r="D69">
        <f t="shared" si="9"/>
        <v>39.286476807124416</v>
      </c>
      <c r="E69">
        <v>69</v>
      </c>
      <c r="G69">
        <f t="shared" si="10"/>
        <v>47.443478258800006</v>
      </c>
      <c r="H69">
        <f t="shared" si="11"/>
        <v>55.616785904110174</v>
      </c>
    </row>
    <row r="70" spans="1:8" x14ac:dyDescent="0.25">
      <c r="A70">
        <v>70</v>
      </c>
      <c r="C70">
        <f t="shared" si="8"/>
        <v>48.000000000500002</v>
      </c>
      <c r="D70">
        <f t="shared" si="9"/>
        <v>39.758930014506198</v>
      </c>
      <c r="E70">
        <v>70</v>
      </c>
      <c r="G70">
        <f t="shared" si="10"/>
        <v>47.999999997900005</v>
      </c>
      <c r="H70">
        <f t="shared" si="11"/>
        <v>56.241069983575187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A8501-CE5F-45E5-9611-01A6CC7898D7}">
  <sheetPr codeName="XLSTAT_20230621_082153_1_HID">
    <tabColor rgb="FF007800"/>
  </sheetPr>
  <dimension ref="A1:P70"/>
  <sheetViews>
    <sheetView workbookViewId="0">
      <selection activeCell="M1" sqref="M1"/>
    </sheetView>
  </sheetViews>
  <sheetFormatPr baseColWidth="10" defaultRowHeight="15" x14ac:dyDescent="0.25"/>
  <sheetData>
    <row r="1" spans="1:16" x14ac:dyDescent="0.25">
      <c r="A1">
        <v>1</v>
      </c>
      <c r="C1">
        <f t="shared" ref="C1:C32" si="0">7.34+(A1-1)*0.0936231884</f>
        <v>7.34</v>
      </c>
      <c r="D1">
        <f t="shared" ref="D1:D32" si="1">0+1*C1-6.63000170277351*(1.05555555555556+(C1-9.72222222222222)^2/71.1111111111111)^0.5</f>
        <v>0.27551618169852166</v>
      </c>
      <c r="E1">
        <v>1</v>
      </c>
      <c r="G1">
        <f t="shared" ref="G1:G32" si="2">6+(E1-1)*0.1130434783</f>
        <v>6</v>
      </c>
      <c r="H1">
        <f t="shared" ref="H1:H32" si="3">0+1*G1+6.63000170277351*(1.05555555555556+(G1-9.72222222222222)^2/71.1111111111111)^0.5</f>
        <v>13.413725372331854</v>
      </c>
      <c r="I1">
        <v>1</v>
      </c>
      <c r="K1">
        <f t="shared" ref="K1:K32" si="4">15.604+(I1-1)*0.2242898551</f>
        <v>15.603999999999999</v>
      </c>
      <c r="L1">
        <f t="shared" ref="L1:L32" si="5">0+1*K1-13.1632719596133*(1.05555555555556+(K1-21.5)^2/435.6)^0.5</f>
        <v>1.5781028851185965</v>
      </c>
      <c r="M1">
        <v>1</v>
      </c>
      <c r="O1">
        <f t="shared" ref="O1:O32" si="6">12.8+(M1-1)*0.2649275362</f>
        <v>12.8</v>
      </c>
      <c r="P1">
        <f t="shared" ref="P1:P32" si="7">0+1*O1+13.1632719596133*(1.05555555555556+(O1-21.5)^2/435.6)^0.5</f>
        <v>27.394714409251293</v>
      </c>
    </row>
    <row r="2" spans="1:16" x14ac:dyDescent="0.25">
      <c r="A2">
        <v>2</v>
      </c>
      <c r="C2">
        <f t="shared" si="0"/>
        <v>7.4336231883999995</v>
      </c>
      <c r="D2">
        <f t="shared" si="1"/>
        <v>0.38829715661665443</v>
      </c>
      <c r="E2">
        <v>2</v>
      </c>
      <c r="G2">
        <f t="shared" si="2"/>
        <v>6.1130434782999998</v>
      </c>
      <c r="H2">
        <f t="shared" si="3"/>
        <v>13.492137346902556</v>
      </c>
      <c r="I2">
        <v>2</v>
      </c>
      <c r="K2">
        <f t="shared" si="4"/>
        <v>15.8282898551</v>
      </c>
      <c r="L2">
        <f t="shared" si="5"/>
        <v>1.8392316637693842</v>
      </c>
      <c r="M2">
        <v>2</v>
      </c>
      <c r="O2">
        <f t="shared" si="6"/>
        <v>13.064927536200001</v>
      </c>
      <c r="P2">
        <f t="shared" si="7"/>
        <v>27.597647804526989</v>
      </c>
    </row>
    <row r="3" spans="1:16" x14ac:dyDescent="0.25">
      <c r="A3">
        <v>3</v>
      </c>
      <c r="C3">
        <f t="shared" si="0"/>
        <v>7.5272463768</v>
      </c>
      <c r="D3">
        <f t="shared" si="1"/>
        <v>0.50035925588563224</v>
      </c>
      <c r="E3">
        <v>3</v>
      </c>
      <c r="G3">
        <f t="shared" si="2"/>
        <v>6.2260869565999997</v>
      </c>
      <c r="H3">
        <f t="shared" si="3"/>
        <v>13.571461491935203</v>
      </c>
      <c r="I3">
        <v>3</v>
      </c>
      <c r="K3">
        <f t="shared" si="4"/>
        <v>16.0525797102</v>
      </c>
      <c r="L3">
        <f t="shared" si="5"/>
        <v>2.0990235544993343</v>
      </c>
      <c r="M3">
        <v>3</v>
      </c>
      <c r="O3">
        <f t="shared" si="6"/>
        <v>13.329855072400001</v>
      </c>
      <c r="P3">
        <f t="shared" si="7"/>
        <v>27.802244832178854</v>
      </c>
    </row>
    <row r="4" spans="1:16" x14ac:dyDescent="0.25">
      <c r="A4">
        <v>4</v>
      </c>
      <c r="C4">
        <f t="shared" si="0"/>
        <v>7.6208695651999996</v>
      </c>
      <c r="D4">
        <f t="shared" si="1"/>
        <v>0.61169680610153776</v>
      </c>
      <c r="E4">
        <v>4</v>
      </c>
      <c r="G4">
        <f t="shared" si="2"/>
        <v>6.3391304349000004</v>
      </c>
      <c r="H4">
        <f t="shared" si="3"/>
        <v>13.651710425878978</v>
      </c>
      <c r="I4">
        <v>4</v>
      </c>
      <c r="K4">
        <f t="shared" si="4"/>
        <v>16.2768695653</v>
      </c>
      <c r="L4">
        <f t="shared" si="5"/>
        <v>2.357468327933077</v>
      </c>
      <c r="M4">
        <v>4</v>
      </c>
      <c r="O4">
        <f t="shared" si="6"/>
        <v>13.594782608600001</v>
      </c>
      <c r="P4">
        <f t="shared" si="7"/>
        <v>28.00852638223968</v>
      </c>
    </row>
    <row r="5" spans="1:16" x14ac:dyDescent="0.25">
      <c r="A5">
        <v>5</v>
      </c>
      <c r="C5">
        <f t="shared" si="0"/>
        <v>7.7144927536000001</v>
      </c>
      <c r="D5">
        <f t="shared" si="1"/>
        <v>0.72230430043519345</v>
      </c>
      <c r="E5">
        <v>5</v>
      </c>
      <c r="G5">
        <f t="shared" si="2"/>
        <v>6.4521739132000002</v>
      </c>
      <c r="H5">
        <f t="shared" si="3"/>
        <v>13.732896645318949</v>
      </c>
      <c r="I5">
        <v>5</v>
      </c>
      <c r="K5">
        <f t="shared" si="4"/>
        <v>16.5011594204</v>
      </c>
      <c r="L5">
        <f t="shared" si="5"/>
        <v>2.6145560441242246</v>
      </c>
      <c r="M5">
        <v>5</v>
      </c>
      <c r="O5">
        <f t="shared" si="6"/>
        <v>13.859710144800001</v>
      </c>
      <c r="P5">
        <f t="shared" si="7"/>
        <v>28.216513097999446</v>
      </c>
    </row>
    <row r="6" spans="1:16" x14ac:dyDescent="0.25">
      <c r="A6">
        <v>6</v>
      </c>
      <c r="C6">
        <f t="shared" si="0"/>
        <v>7.8081159419999997</v>
      </c>
      <c r="D6">
        <f t="shared" si="1"/>
        <v>0.83217640648780389</v>
      </c>
      <c r="E6">
        <v>6</v>
      </c>
      <c r="G6">
        <f t="shared" si="2"/>
        <v>6.5652173915000001</v>
      </c>
      <c r="H6">
        <f t="shared" si="3"/>
        <v>13.815032506172464</v>
      </c>
      <c r="I6">
        <v>6</v>
      </c>
      <c r="K6">
        <f t="shared" si="4"/>
        <v>16.725449275499997</v>
      </c>
      <c r="L6">
        <f t="shared" si="5"/>
        <v>2.8702770658218473</v>
      </c>
      <c r="M6">
        <v>6</v>
      </c>
      <c r="O6">
        <f t="shared" si="6"/>
        <v>14.124637681000001</v>
      </c>
      <c r="P6">
        <f t="shared" si="7"/>
        <v>28.426225346484244</v>
      </c>
    </row>
    <row r="7" spans="1:16" x14ac:dyDescent="0.25">
      <c r="A7">
        <v>7</v>
      </c>
      <c r="C7">
        <f t="shared" si="0"/>
        <v>7.9017391304000002</v>
      </c>
      <c r="D7">
        <f t="shared" si="1"/>
        <v>0.94130797403184374</v>
      </c>
      <c r="E7">
        <v>7</v>
      </c>
      <c r="G7">
        <f t="shared" si="2"/>
        <v>6.6782608697999999</v>
      </c>
      <c r="H7">
        <f t="shared" si="3"/>
        <v>13.898130204440712</v>
      </c>
      <c r="I7">
        <v>7</v>
      </c>
      <c r="K7">
        <f t="shared" si="4"/>
        <v>16.949739130599998</v>
      </c>
      <c r="L7">
        <f t="shared" si="5"/>
        <v>3.124622071553306</v>
      </c>
      <c r="M7">
        <v>7</v>
      </c>
      <c r="O7">
        <f t="shared" si="6"/>
        <v>14.389565217200001</v>
      </c>
      <c r="P7">
        <f t="shared" si="7"/>
        <v>28.637683188417839</v>
      </c>
    </row>
    <row r="8" spans="1:16" x14ac:dyDescent="0.25">
      <c r="A8">
        <v>8</v>
      </c>
      <c r="C8">
        <f t="shared" si="0"/>
        <v>7.9953623187999998</v>
      </c>
      <c r="D8">
        <f t="shared" si="1"/>
        <v>1.049694042613285</v>
      </c>
      <c r="E8">
        <v>8</v>
      </c>
      <c r="G8">
        <f t="shared" si="2"/>
        <v>6.7913043480999997</v>
      </c>
      <c r="H8">
        <f t="shared" si="3"/>
        <v>13.98220175656367</v>
      </c>
      <c r="I8">
        <v>8</v>
      </c>
      <c r="K8">
        <f t="shared" si="4"/>
        <v>17.174028985699998</v>
      </c>
      <c r="L8">
        <f t="shared" si="5"/>
        <v>3.3775820684856956</v>
      </c>
      <c r="M8">
        <v>8</v>
      </c>
      <c r="O8">
        <f t="shared" si="6"/>
        <v>14.6544927534</v>
      </c>
      <c r="P8">
        <f t="shared" si="7"/>
        <v>28.850906347742249</v>
      </c>
    </row>
    <row r="9" spans="1:16" x14ac:dyDescent="0.25">
      <c r="A9">
        <v>9</v>
      </c>
      <c r="C9">
        <f t="shared" si="0"/>
        <v>8.0889855072000003</v>
      </c>
      <c r="D9">
        <f t="shared" si="1"/>
        <v>1.1573298489910533</v>
      </c>
      <c r="E9">
        <v>9</v>
      </c>
      <c r="G9">
        <f t="shared" si="2"/>
        <v>6.9043478264000004</v>
      </c>
      <c r="H9">
        <f t="shared" si="3"/>
        <v>14.067258979431706</v>
      </c>
      <c r="I9">
        <v>9</v>
      </c>
      <c r="K9">
        <f t="shared" si="4"/>
        <v>17.398318840799998</v>
      </c>
      <c r="L9">
        <f t="shared" si="5"/>
        <v>3.6291484050278324</v>
      </c>
      <c r="M9">
        <v>9</v>
      </c>
      <c r="O9">
        <f t="shared" si="6"/>
        <v>14.919420289600001</v>
      </c>
      <c r="P9">
        <f t="shared" si="7"/>
        <v>29.065914180779721</v>
      </c>
    </row>
    <row r="10" spans="1:16" x14ac:dyDescent="0.25">
      <c r="A10">
        <v>10</v>
      </c>
      <c r="C10">
        <f t="shared" si="0"/>
        <v>8.182608695599999</v>
      </c>
      <c r="D10">
        <f t="shared" si="1"/>
        <v>1.2642108343895568</v>
      </c>
      <c r="E10">
        <v>10</v>
      </c>
      <c r="G10">
        <f t="shared" si="2"/>
        <v>7.0173913047000003</v>
      </c>
      <c r="H10">
        <f t="shared" si="3"/>
        <v>14.153313470111751</v>
      </c>
      <c r="I10">
        <v>10</v>
      </c>
      <c r="K10">
        <f t="shared" si="4"/>
        <v>17.622608695899999</v>
      </c>
      <c r="L10">
        <f t="shared" si="5"/>
        <v>3.8793127831345835</v>
      </c>
      <c r="M10">
        <v>10</v>
      </c>
      <c r="O10">
        <f t="shared" si="6"/>
        <v>15.1843478258</v>
      </c>
      <c r="P10">
        <f t="shared" si="7"/>
        <v>29.282725645124458</v>
      </c>
    </row>
    <row r="11" spans="1:16" x14ac:dyDescent="0.25">
      <c r="A11">
        <v>11</v>
      </c>
      <c r="C11">
        <f t="shared" si="0"/>
        <v>8.2762318839999995</v>
      </c>
      <c r="D11">
        <f t="shared" si="1"/>
        <v>1.3703326515401235</v>
      </c>
      <c r="E11">
        <v>11</v>
      </c>
      <c r="G11">
        <f t="shared" si="2"/>
        <v>7.1304347830000001</v>
      </c>
      <c r="H11">
        <f t="shared" si="3"/>
        <v>14.240376585350823</v>
      </c>
      <c r="I11">
        <v>11</v>
      </c>
      <c r="K11">
        <f t="shared" si="4"/>
        <v>17.846898550999999</v>
      </c>
      <c r="L11">
        <f t="shared" si="5"/>
        <v>4.1280672702753538</v>
      </c>
      <c r="M11">
        <v>11</v>
      </c>
      <c r="O11">
        <f t="shared" si="6"/>
        <v>15.449275362000002</v>
      </c>
      <c r="P11">
        <f t="shared" si="7"/>
        <v>29.501359268358144</v>
      </c>
    </row>
    <row r="12" spans="1:16" x14ac:dyDescent="0.25">
      <c r="A12">
        <v>12</v>
      </c>
      <c r="C12">
        <f t="shared" si="0"/>
        <v>8.3698550724</v>
      </c>
      <c r="D12">
        <f t="shared" si="1"/>
        <v>1.4756911714874201</v>
      </c>
      <c r="E12">
        <v>12</v>
      </c>
      <c r="G12">
        <f t="shared" si="2"/>
        <v>7.2434782612999999</v>
      </c>
      <c r="H12">
        <f t="shared" si="3"/>
        <v>14.328459420924128</v>
      </c>
      <c r="I12">
        <v>12</v>
      </c>
      <c r="K12">
        <f t="shared" si="4"/>
        <v>18.071188406099999</v>
      </c>
      <c r="L12">
        <f t="shared" si="5"/>
        <v>4.3754043110287899</v>
      </c>
      <c r="M12">
        <v>12</v>
      </c>
      <c r="O12">
        <f t="shared" si="6"/>
        <v>15.7142028982</v>
      </c>
      <c r="P12">
        <f t="shared" si="7"/>
        <v>29.721833116688572</v>
      </c>
    </row>
    <row r="13" spans="1:16" x14ac:dyDescent="0.25">
      <c r="A13">
        <v>13</v>
      </c>
      <c r="C13">
        <f t="shared" si="0"/>
        <v>8.4634782608000005</v>
      </c>
      <c r="D13">
        <f t="shared" si="1"/>
        <v>1.580282490137221</v>
      </c>
      <c r="E13">
        <v>13</v>
      </c>
      <c r="G13">
        <f t="shared" si="2"/>
        <v>7.3565217395999998</v>
      </c>
      <c r="H13">
        <f t="shared" si="3"/>
        <v>14.417572790899253</v>
      </c>
      <c r="I13">
        <v>13</v>
      </c>
      <c r="K13">
        <f t="shared" si="4"/>
        <v>18.2954782612</v>
      </c>
      <c r="L13">
        <f t="shared" si="5"/>
        <v>4.6213167382661684</v>
      </c>
      <c r="M13">
        <v>13</v>
      </c>
      <c r="O13">
        <f t="shared" si="6"/>
        <v>15.9791304344</v>
      </c>
      <c r="P13">
        <f t="shared" si="7"/>
        <v>29.944164763615731</v>
      </c>
    </row>
    <row r="14" spans="1:16" x14ac:dyDescent="0.25">
      <c r="A14">
        <v>14</v>
      </c>
      <c r="C14">
        <f t="shared" si="0"/>
        <v>8.5571014491999993</v>
      </c>
      <c r="D14">
        <f t="shared" si="1"/>
        <v>1.6841029345223353</v>
      </c>
      <c r="E14">
        <v>14</v>
      </c>
      <c r="G14">
        <f t="shared" si="2"/>
        <v>7.4695652178999996</v>
      </c>
      <c r="H14">
        <f t="shared" si="3"/>
        <v>14.507727206892008</v>
      </c>
      <c r="I14">
        <v>14</v>
      </c>
      <c r="K14">
        <f t="shared" si="4"/>
        <v>18.5197681163</v>
      </c>
      <c r="L14">
        <f t="shared" si="5"/>
        <v>4.8657977838866238</v>
      </c>
      <c r="M14">
        <v>14</v>
      </c>
      <c r="O14">
        <f t="shared" si="6"/>
        <v>16.2440579706</v>
      </c>
      <c r="P14">
        <f t="shared" si="7"/>
        <v>30.168371258734123</v>
      </c>
    </row>
    <row r="15" spans="1:16" x14ac:dyDescent="0.25">
      <c r="A15">
        <v>15</v>
      </c>
      <c r="C15">
        <f t="shared" si="0"/>
        <v>8.6507246375999998</v>
      </c>
      <c r="D15">
        <f t="shared" si="1"/>
        <v>1.7871490687641529</v>
      </c>
      <c r="E15">
        <v>15</v>
      </c>
      <c r="G15">
        <f t="shared" si="2"/>
        <v>7.5826086961999994</v>
      </c>
      <c r="H15">
        <f t="shared" si="3"/>
        <v>14.598932857393088</v>
      </c>
      <c r="I15">
        <v>15</v>
      </c>
      <c r="K15">
        <f t="shared" si="4"/>
        <v>18.7440579714</v>
      </c>
      <c r="L15">
        <f t="shared" si="5"/>
        <v>5.1088410890681555</v>
      </c>
      <c r="M15">
        <v>15</v>
      </c>
      <c r="O15">
        <f t="shared" si="6"/>
        <v>16.508985506800002</v>
      </c>
      <c r="P15">
        <f t="shared" si="7"/>
        <v>30.394469096784114</v>
      </c>
    </row>
    <row r="16" spans="1:16" x14ac:dyDescent="0.25">
      <c r="A16">
        <v>16</v>
      </c>
      <c r="C16">
        <f t="shared" si="0"/>
        <v>8.7443478260000003</v>
      </c>
      <c r="D16">
        <f t="shared" si="1"/>
        <v>1.8894176997079137</v>
      </c>
      <c r="E16">
        <v>16</v>
      </c>
      <c r="G16">
        <f t="shared" si="2"/>
        <v>7.6956521745000002</v>
      </c>
      <c r="H16">
        <f t="shared" si="3"/>
        <v>14.691199587247915</v>
      </c>
      <c r="I16">
        <v>16</v>
      </c>
      <c r="K16">
        <f t="shared" si="4"/>
        <v>18.968347826500001</v>
      </c>
      <c r="L16">
        <f t="shared" si="5"/>
        <v>5.3504407139994825</v>
      </c>
      <c r="M16">
        <v>16</v>
      </c>
      <c r="O16">
        <f t="shared" si="6"/>
        <v>16.773913043</v>
      </c>
      <c r="P16">
        <f t="shared" si="7"/>
        <v>30.622474187068459</v>
      </c>
    </row>
    <row r="17" spans="1:16" x14ac:dyDescent="0.25">
      <c r="A17">
        <v>17</v>
      </c>
      <c r="C17">
        <f t="shared" si="0"/>
        <v>8.8379710144000008</v>
      </c>
      <c r="D17">
        <f t="shared" si="1"/>
        <v>1.9909058822108143</v>
      </c>
      <c r="E17">
        <v>17</v>
      </c>
      <c r="G17">
        <f t="shared" si="2"/>
        <v>7.8086956528</v>
      </c>
      <c r="H17">
        <f t="shared" si="3"/>
        <v>14.784536877374887</v>
      </c>
      <c r="I17">
        <v>17</v>
      </c>
      <c r="K17">
        <f t="shared" si="4"/>
        <v>19.192637681599997</v>
      </c>
      <c r="L17">
        <f t="shared" si="5"/>
        <v>5.5905911470589871</v>
      </c>
      <c r="M17">
        <v>17</v>
      </c>
      <c r="O17">
        <f t="shared" si="6"/>
        <v>17.038840579199999</v>
      </c>
      <c r="P17">
        <f t="shared" si="7"/>
        <v>30.852401823352871</v>
      </c>
    </row>
    <row r="18" spans="1:16" x14ac:dyDescent="0.25">
      <c r="A18">
        <v>18</v>
      </c>
      <c r="C18">
        <f t="shared" si="0"/>
        <v>8.9315942027999995</v>
      </c>
      <c r="D18">
        <f t="shared" si="1"/>
        <v>2.0916109240629401</v>
      </c>
      <c r="E18">
        <v>18</v>
      </c>
      <c r="G18">
        <f t="shared" si="2"/>
        <v>7.9217391310999998</v>
      </c>
      <c r="H18">
        <f t="shared" si="3"/>
        <v>14.878953824809336</v>
      </c>
      <c r="I18">
        <v>18</v>
      </c>
      <c r="K18">
        <f t="shared" si="4"/>
        <v>19.416927536699998</v>
      </c>
      <c r="L18">
        <f t="shared" si="5"/>
        <v>5.8292873134085355</v>
      </c>
      <c r="M18">
        <v>18</v>
      </c>
      <c r="O18">
        <f t="shared" si="6"/>
        <v>17.3037681154</v>
      </c>
      <c r="P18">
        <f t="shared" si="7"/>
        <v>31.084266654371547</v>
      </c>
    </row>
    <row r="19" spans="1:16" x14ac:dyDescent="0.25">
      <c r="A19">
        <v>19</v>
      </c>
      <c r="C19">
        <f t="shared" si="0"/>
        <v>9.0252173912</v>
      </c>
      <c r="D19">
        <f t="shared" si="1"/>
        <v>2.1915303905222707</v>
      </c>
      <c r="E19">
        <v>19</v>
      </c>
      <c r="G19">
        <f t="shared" si="2"/>
        <v>8.0347826094000006</v>
      </c>
      <c r="H19">
        <f t="shared" si="3"/>
        <v>14.974459123162294</v>
      </c>
      <c r="I19">
        <v>19</v>
      </c>
      <c r="K19">
        <f t="shared" si="4"/>
        <v>19.641217391799998</v>
      </c>
      <c r="L19">
        <f t="shared" si="5"/>
        <v>6.0665245829715388</v>
      </c>
      <c r="M19">
        <v>19</v>
      </c>
      <c r="O19">
        <f t="shared" si="6"/>
        <v>17.568695651600002</v>
      </c>
      <c r="P19">
        <f t="shared" si="7"/>
        <v>31.318082655059701</v>
      </c>
    </row>
    <row r="20" spans="1:16" x14ac:dyDescent="0.25">
      <c r="A20">
        <v>20</v>
      </c>
      <c r="C20">
        <f t="shared" si="0"/>
        <v>9.1188405796000005</v>
      </c>
      <c r="D20">
        <f t="shared" si="1"/>
        <v>2.2906621084461776</v>
      </c>
      <c r="E20">
        <v>20</v>
      </c>
      <c r="G20">
        <f t="shared" si="2"/>
        <v>8.1478260877000004</v>
      </c>
      <c r="H20">
        <f t="shared" si="3"/>
        <v>15.071061043584074</v>
      </c>
      <c r="I20">
        <v>20</v>
      </c>
      <c r="K20">
        <f t="shared" si="4"/>
        <v>19.865507246899998</v>
      </c>
      <c r="L20">
        <f t="shared" si="5"/>
        <v>6.3022987777665911</v>
      </c>
      <c r="M20">
        <v>20</v>
      </c>
      <c r="O20">
        <f t="shared" si="6"/>
        <v>17.833623187800001</v>
      </c>
      <c r="P20">
        <f t="shared" si="7"/>
        <v>31.55386309863578</v>
      </c>
    </row>
    <row r="21" spans="1:16" x14ac:dyDescent="0.25">
      <c r="A21">
        <v>21</v>
      </c>
      <c r="C21">
        <f t="shared" si="0"/>
        <v>9.2124637679999992</v>
      </c>
      <c r="D21">
        <f t="shared" si="1"/>
        <v>2.3890041700033287</v>
      </c>
      <c r="E21">
        <v>21</v>
      </c>
      <c r="G21">
        <f t="shared" si="2"/>
        <v>8.2608695660000002</v>
      </c>
      <c r="H21">
        <f t="shared" si="3"/>
        <v>15.168767416323099</v>
      </c>
      <c r="I21">
        <v>21</v>
      </c>
      <c r="K21">
        <f t="shared" si="4"/>
        <v>20.089797101999999</v>
      </c>
      <c r="L21">
        <f t="shared" si="5"/>
        <v>6.5366061785699241</v>
      </c>
      <c r="M21">
        <v>21</v>
      </c>
      <c r="O21">
        <f t="shared" si="6"/>
        <v>18.098550723999999</v>
      </c>
      <c r="P21">
        <f t="shared" si="7"/>
        <v>31.791620529655361</v>
      </c>
    </row>
    <row r="22" spans="1:16" x14ac:dyDescent="0.25">
      <c r="A22">
        <v>22</v>
      </c>
      <c r="C22">
        <f t="shared" si="0"/>
        <v>9.3060869563999997</v>
      </c>
      <c r="D22">
        <f t="shared" si="1"/>
        <v>2.4865549359513235</v>
      </c>
      <c r="E22">
        <v>22</v>
      </c>
      <c r="G22">
        <f t="shared" si="2"/>
        <v>8.3739130443000001</v>
      </c>
      <c r="H22">
        <f t="shared" si="3"/>
        <v>15.267585612970064</v>
      </c>
      <c r="I22">
        <v>22</v>
      </c>
      <c r="K22">
        <f t="shared" si="4"/>
        <v>20.314086957099999</v>
      </c>
      <c r="L22">
        <f t="shared" si="5"/>
        <v>6.7694435308822154</v>
      </c>
      <c r="M22">
        <v>22</v>
      </c>
      <c r="O22">
        <f t="shared" si="6"/>
        <v>18.363478260200001</v>
      </c>
      <c r="P22">
        <f t="shared" si="7"/>
        <v>32.031366738157566</v>
      </c>
    </row>
    <row r="23" spans="1:16" x14ac:dyDescent="0.25">
      <c r="A23">
        <v>23</v>
      </c>
      <c r="C23">
        <f t="shared" si="0"/>
        <v>9.3997101448000002</v>
      </c>
      <c r="D23">
        <f t="shared" si="1"/>
        <v>2.5833130384670451</v>
      </c>
      <c r="E23">
        <v>23</v>
      </c>
      <c r="G23">
        <f t="shared" si="2"/>
        <v>8.4869565225999999</v>
      </c>
      <c r="H23">
        <f t="shared" si="3"/>
        <v>15.367522529476322</v>
      </c>
      <c r="I23">
        <v>23</v>
      </c>
      <c r="K23">
        <f t="shared" si="4"/>
        <v>20.538376812199999</v>
      </c>
      <c r="L23">
        <f t="shared" si="5"/>
        <v>7.0008080501776266</v>
      </c>
      <c r="M23">
        <v>23</v>
      </c>
      <c r="O23">
        <f t="shared" si="6"/>
        <v>18.628405796399999</v>
      </c>
      <c r="P23">
        <f t="shared" si="7"/>
        <v>32.273112735022565</v>
      </c>
    </row>
    <row r="24" spans="1:16" x14ac:dyDescent="0.25">
      <c r="A24">
        <v>24</v>
      </c>
      <c r="C24">
        <f t="shared" si="0"/>
        <v>9.4933333331999989</v>
      </c>
      <c r="D24">
        <f t="shared" si="1"/>
        <v>2.6792773835183912</v>
      </c>
      <c r="E24">
        <v>24</v>
      </c>
      <c r="G24">
        <f t="shared" si="2"/>
        <v>8.6000000008999997</v>
      </c>
      <c r="H24">
        <f t="shared" si="3"/>
        <v>15.468584570033737</v>
      </c>
      <c r="I24">
        <v>24</v>
      </c>
      <c r="K24">
        <f t="shared" si="4"/>
        <v>20.7626666673</v>
      </c>
      <c r="L24">
        <f t="shared" si="5"/>
        <v>7.2306974264154569</v>
      </c>
      <c r="M24">
        <v>24</v>
      </c>
      <c r="O24">
        <f t="shared" si="6"/>
        <v>18.893333332600001</v>
      </c>
      <c r="P24">
        <f t="shared" si="7"/>
        <v>32.516868728655581</v>
      </c>
    </row>
    <row r="25" spans="1:16" x14ac:dyDescent="0.25">
      <c r="A25">
        <v>25</v>
      </c>
      <c r="C25">
        <f t="shared" si="0"/>
        <v>9.5869565215999994</v>
      </c>
      <c r="D25">
        <f t="shared" si="1"/>
        <v>2.7744471527678423</v>
      </c>
      <c r="E25">
        <v>25</v>
      </c>
      <c r="G25">
        <f t="shared" si="2"/>
        <v>8.7130434791999996</v>
      </c>
      <c r="H25">
        <f t="shared" si="3"/>
        <v>15.570777631900469</v>
      </c>
      <c r="I25">
        <v>25</v>
      </c>
      <c r="K25">
        <f t="shared" si="4"/>
        <v>20.9869565224</v>
      </c>
      <c r="L25">
        <f t="shared" si="5"/>
        <v>7.4591098277974588</v>
      </c>
      <c r="M25">
        <v>25</v>
      </c>
      <c r="O25">
        <f t="shared" si="6"/>
        <v>19.158260868799999</v>
      </c>
      <c r="P25">
        <f t="shared" si="7"/>
        <v>32.76264410310867</v>
      </c>
    </row>
    <row r="26" spans="1:16" x14ac:dyDescent="0.25">
      <c r="A26">
        <v>26</v>
      </c>
      <c r="C26">
        <f t="shared" si="0"/>
        <v>9.6805797099999999</v>
      </c>
      <c r="D26">
        <f t="shared" si="1"/>
        <v>2.8688218050001399</v>
      </c>
      <c r="E26">
        <v>26</v>
      </c>
      <c r="G26">
        <f t="shared" si="2"/>
        <v>8.8260869574999994</v>
      </c>
      <c r="H26">
        <f t="shared" si="3"/>
        <v>15.674107091253918</v>
      </c>
      <c r="I26">
        <v>26</v>
      </c>
      <c r="K26">
        <f t="shared" si="4"/>
        <v>21.2112463775</v>
      </c>
      <c r="L26">
        <f t="shared" si="5"/>
        <v>7.6860439037566035</v>
      </c>
      <c r="M26">
        <v>26</v>
      </c>
      <c r="O26">
        <f t="shared" si="6"/>
        <v>19.423188405000001</v>
      </c>
      <c r="P26">
        <f t="shared" si="7"/>
        <v>33.010447397746596</v>
      </c>
    </row>
    <row r="27" spans="1:16" x14ac:dyDescent="0.25">
      <c r="A27">
        <v>27</v>
      </c>
      <c r="C27">
        <f t="shared" si="0"/>
        <v>9.7742028984000004</v>
      </c>
      <c r="D27">
        <f t="shared" si="1"/>
        <v>2.9624010770683054</v>
      </c>
      <c r="E27">
        <v>27</v>
      </c>
      <c r="G27">
        <f t="shared" si="2"/>
        <v>8.9391304357999992</v>
      </c>
      <c r="H27">
        <f t="shared" si="3"/>
        <v>15.778577790147853</v>
      </c>
      <c r="I27">
        <v>27</v>
      </c>
      <c r="K27">
        <f t="shared" si="4"/>
        <v>21.435536232600001</v>
      </c>
      <c r="L27">
        <f t="shared" si="5"/>
        <v>7.9114987871659572</v>
      </c>
      <c r="M27">
        <v>27</v>
      </c>
      <c r="O27">
        <f t="shared" si="6"/>
        <v>19.6881159412</v>
      </c>
      <c r="P27">
        <f t="shared" si="7"/>
        <v>33.260286288557225</v>
      </c>
    </row>
    <row r="28" spans="1:16" x14ac:dyDescent="0.25">
      <c r="A28">
        <v>28</v>
      </c>
      <c r="C28">
        <f t="shared" si="0"/>
        <v>9.867826086800001</v>
      </c>
      <c r="D28">
        <f t="shared" si="1"/>
        <v>3.0551849843541135</v>
      </c>
      <c r="E28">
        <v>28</v>
      </c>
      <c r="G28">
        <f t="shared" si="2"/>
        <v>9.0521739140999991</v>
      </c>
      <c r="H28">
        <f t="shared" si="3"/>
        <v>15.884194024645995</v>
      </c>
      <c r="I28">
        <v>28</v>
      </c>
      <c r="K28">
        <f t="shared" si="4"/>
        <v>21.659826087699997</v>
      </c>
      <c r="L28">
        <f t="shared" si="5"/>
        <v>8.1354740957592426</v>
      </c>
      <c r="M28">
        <v>28</v>
      </c>
      <c r="O28">
        <f t="shared" si="6"/>
        <v>19.953043477400001</v>
      </c>
      <c r="P28">
        <f t="shared" si="7"/>
        <v>33.512167571199981</v>
      </c>
    </row>
    <row r="29" spans="1:16" x14ac:dyDescent="0.25">
      <c r="A29">
        <v>29</v>
      </c>
      <c r="C29">
        <f t="shared" si="0"/>
        <v>9.9614492751999997</v>
      </c>
      <c r="D29">
        <f t="shared" si="1"/>
        <v>3.1471738207411777</v>
      </c>
      <c r="E29">
        <v>29</v>
      </c>
      <c r="G29">
        <f t="shared" si="2"/>
        <v>9.1652173923999989</v>
      </c>
      <c r="H29">
        <f t="shared" si="3"/>
        <v>15.990959534198664</v>
      </c>
      <c r="I29">
        <v>29</v>
      </c>
      <c r="K29">
        <f t="shared" si="4"/>
        <v>21.884115942800001</v>
      </c>
      <c r="L29">
        <f t="shared" si="5"/>
        <v>8.3579699327576833</v>
      </c>
      <c r="M29">
        <v>29</v>
      </c>
      <c r="O29">
        <f t="shared" si="6"/>
        <v>20.2179710136</v>
      </c>
      <c r="P29">
        <f t="shared" si="7"/>
        <v>33.766097145878462</v>
      </c>
    </row>
    <row r="30" spans="1:16" x14ac:dyDescent="0.25">
      <c r="A30">
        <v>30</v>
      </c>
      <c r="C30">
        <f t="shared" si="0"/>
        <v>10.0550724636</v>
      </c>
      <c r="D30">
        <f t="shared" si="1"/>
        <v>3.2383681581007213</v>
      </c>
      <c r="E30">
        <v>30</v>
      </c>
      <c r="G30">
        <f t="shared" si="2"/>
        <v>9.2782608707000005</v>
      </c>
      <c r="H30">
        <f t="shared" si="3"/>
        <v>16.098877492322991</v>
      </c>
      <c r="I30">
        <v>30</v>
      </c>
      <c r="K30">
        <f t="shared" si="4"/>
        <v>22.108405797899998</v>
      </c>
      <c r="L30">
        <f t="shared" si="5"/>
        <v>8.5789868867006867</v>
      </c>
      <c r="M30">
        <v>30</v>
      </c>
      <c r="O30">
        <f t="shared" si="6"/>
        <v>20.482898549799998</v>
      </c>
      <c r="P30">
        <f t="shared" si="7"/>
        <v>34.02208000411477</v>
      </c>
    </row>
    <row r="31" spans="1:16" x14ac:dyDescent="0.25">
      <c r="A31">
        <v>31</v>
      </c>
      <c r="C31">
        <f t="shared" si="0"/>
        <v>10.148695652000001</v>
      </c>
      <c r="D31">
        <f t="shared" si="1"/>
        <v>3.3287688452921467</v>
      </c>
      <c r="E31">
        <v>31</v>
      </c>
      <c r="G31">
        <f t="shared" si="2"/>
        <v>9.3913043490000003</v>
      </c>
      <c r="H31">
        <f t="shared" si="3"/>
        <v>16.207950498640276</v>
      </c>
      <c r="I31">
        <v>31</v>
      </c>
      <c r="K31">
        <f t="shared" si="4"/>
        <v>22.332695652999998</v>
      </c>
      <c r="L31">
        <f t="shared" si="5"/>
        <v>8.7985260304810922</v>
      </c>
      <c r="M31">
        <v>31</v>
      </c>
      <c r="O31">
        <f t="shared" si="6"/>
        <v>20.747826086</v>
      </c>
      <c r="P31">
        <f t="shared" si="7"/>
        <v>34.280120217494137</v>
      </c>
    </row>
    <row r="32" spans="1:16" x14ac:dyDescent="0.25">
      <c r="A32">
        <v>32</v>
      </c>
      <c r="C32">
        <f t="shared" si="0"/>
        <v>10.242318840399999</v>
      </c>
      <c r="D32">
        <f t="shared" si="1"/>
        <v>3.4183770066824852</v>
      </c>
      <c r="E32">
        <v>32</v>
      </c>
      <c r="G32">
        <f t="shared" si="2"/>
        <v>9.5043478273000002</v>
      </c>
      <c r="H32">
        <f t="shared" si="3"/>
        <v>16.318180572316834</v>
      </c>
      <c r="I32">
        <v>32</v>
      </c>
      <c r="K32">
        <f t="shared" si="4"/>
        <v>22.556985508099999</v>
      </c>
      <c r="L32">
        <f t="shared" si="5"/>
        <v>9.0165889195885818</v>
      </c>
      <c r="M32">
        <v>32</v>
      </c>
      <c r="O32">
        <f t="shared" si="6"/>
        <v>21.012753622200002</v>
      </c>
      <c r="P32">
        <f t="shared" si="7"/>
        <v>34.540220928438629</v>
      </c>
    </row>
    <row r="33" spans="1:16" x14ac:dyDescent="0.25">
      <c r="A33">
        <v>33</v>
      </c>
      <c r="C33">
        <f t="shared" ref="C33:C64" si="8">7.34+(A33-1)*0.0936231884</f>
        <v>10.3359420288</v>
      </c>
      <c r="D33">
        <f t="shared" ref="D33:D64" si="9">0+1*C33-6.63000170277351*(1.05555555555556+(C33-9.72222222222222)^2/71.1111111111111)^0.5</f>
        <v>3.5071940401907344</v>
      </c>
      <c r="E33">
        <v>33</v>
      </c>
      <c r="G33">
        <f t="shared" ref="G33:G64" si="10">6+(E33-1)*0.1130434783</f>
        <v>9.6173913056</v>
      </c>
      <c r="H33">
        <f t="shared" ref="H33:H64" si="11">0+1*G33+6.63000170277351*(1.05555555555556+(G33-9.72222222222222)^2/71.1111111111111)^0.5</f>
        <v>16.429569146946623</v>
      </c>
      <c r="I33">
        <v>33</v>
      </c>
      <c r="K33">
        <f t="shared" ref="K33:K64" si="12">15.604+(I33-1)*0.2242898551</f>
        <v>22.781275363199999</v>
      </c>
      <c r="L33">
        <f t="shared" ref="L33:L64" si="13">0+1*K33-13.1632719596133*(1.05555555555556+(K33-21.5)^2/435.6)^0.5</f>
        <v>9.2331775895680206</v>
      </c>
      <c r="M33">
        <v>33</v>
      </c>
      <c r="O33">
        <f t="shared" ref="O33:O64" si="14">12.8+(M33-1)*0.2649275362</f>
        <v>21.2776811584</v>
      </c>
      <c r="P33">
        <f t="shared" ref="P33:P64" si="15">0+1*O33+13.1632719596133*(1.05555555555556+(O33-21.5)^2/435.6)^0.5</f>
        <v>34.802384343058598</v>
      </c>
    </row>
    <row r="34" spans="1:16" x14ac:dyDescent="0.25">
      <c r="A34">
        <v>34</v>
      </c>
      <c r="C34">
        <f t="shared" si="8"/>
        <v>10.4295652172</v>
      </c>
      <c r="D34">
        <f t="shared" si="9"/>
        <v>3.5952216148649701</v>
      </c>
      <c r="E34">
        <v>34</v>
      </c>
      <c r="G34">
        <f t="shared" si="10"/>
        <v>9.7304347838999998</v>
      </c>
      <c r="H34">
        <f t="shared" si="11"/>
        <v>16.542117066905899</v>
      </c>
      <c r="I34">
        <v>34</v>
      </c>
      <c r="K34">
        <f t="shared" si="12"/>
        <v>23.005565218299999</v>
      </c>
      <c r="L34">
        <f t="shared" si="13"/>
        <v>9.4482945527023716</v>
      </c>
      <c r="M34">
        <v>34</v>
      </c>
      <c r="O34">
        <f t="shared" si="14"/>
        <v>21.542608694599998</v>
      </c>
      <c r="P34">
        <f t="shared" si="15"/>
        <v>35.066611726119504</v>
      </c>
    </row>
    <row r="35" spans="1:16" x14ac:dyDescent="0.25">
      <c r="A35">
        <v>35</v>
      </c>
      <c r="C35">
        <f t="shared" si="8"/>
        <v>10.523188405599999</v>
      </c>
      <c r="D35">
        <f t="shared" si="9"/>
        <v>3.6824616680020101</v>
      </c>
      <c r="E35">
        <v>35</v>
      </c>
      <c r="G35">
        <f t="shared" si="10"/>
        <v>9.8434782621999997</v>
      </c>
      <c r="H35">
        <f t="shared" si="11"/>
        <v>16.65582458520144</v>
      </c>
      <c r="I35">
        <v>35</v>
      </c>
      <c r="K35">
        <f t="shared" si="12"/>
        <v>23.2298550734</v>
      </c>
      <c r="L35">
        <f t="shared" si="13"/>
        <v>9.6619427939327451</v>
      </c>
      <c r="M35">
        <v>35</v>
      </c>
      <c r="O35">
        <f t="shared" si="14"/>
        <v>21.8075362308</v>
      </c>
      <c r="P35">
        <f t="shared" si="15"/>
        <v>35.332903398151068</v>
      </c>
    </row>
    <row r="36" spans="1:16" x14ac:dyDescent="0.25">
      <c r="A36">
        <v>36</v>
      </c>
      <c r="C36">
        <f t="shared" si="8"/>
        <v>10.616811594</v>
      </c>
      <c r="D36">
        <f t="shared" si="9"/>
        <v>3.7689164018211763</v>
      </c>
      <c r="E36">
        <v>36</v>
      </c>
      <c r="G36">
        <f t="shared" si="10"/>
        <v>9.9565217404999995</v>
      </c>
      <c r="H36">
        <f t="shared" si="11"/>
        <v>16.770691362825104</v>
      </c>
      <c r="I36">
        <v>36</v>
      </c>
      <c r="K36">
        <f t="shared" si="12"/>
        <v>23.4541449285</v>
      </c>
      <c r="L36">
        <f t="shared" si="13"/>
        <v>9.8741257660310229</v>
      </c>
      <c r="M36">
        <v>36</v>
      </c>
      <c r="O36">
        <f t="shared" si="14"/>
        <v>22.072463767000002</v>
      </c>
      <c r="P36">
        <f t="shared" si="15"/>
        <v>35.601258734713966</v>
      </c>
    </row>
    <row r="37" spans="1:16" x14ac:dyDescent="0.25">
      <c r="A37">
        <v>37</v>
      </c>
      <c r="C37">
        <f t="shared" si="8"/>
        <v>10.7104347824</v>
      </c>
      <c r="D37">
        <f t="shared" si="9"/>
        <v>3.8545882797052951</v>
      </c>
      <c r="E37">
        <v>37</v>
      </c>
      <c r="G37">
        <f t="shared" si="10"/>
        <v>10.069565218800001</v>
      </c>
      <c r="H37">
        <f t="shared" si="11"/>
        <v>16.886716469618595</v>
      </c>
      <c r="I37">
        <v>37</v>
      </c>
      <c r="K37">
        <f t="shared" si="12"/>
        <v>23.678434783599997</v>
      </c>
      <c r="L37">
        <f t="shared" si="13"/>
        <v>10.084847384043062</v>
      </c>
      <c r="M37">
        <v>37</v>
      </c>
      <c r="O37">
        <f t="shared" si="14"/>
        <v>22.3373913032</v>
      </c>
      <c r="P37">
        <f t="shared" si="15"/>
        <v>35.871676167828127</v>
      </c>
    </row>
    <row r="38" spans="1:16" x14ac:dyDescent="0.25">
      <c r="A38">
        <v>38</v>
      </c>
      <c r="C38">
        <f t="shared" si="8"/>
        <v>10.804057970799999</v>
      </c>
      <c r="D38">
        <f t="shared" si="9"/>
        <v>3.9394800220238189</v>
      </c>
      <c r="E38">
        <v>38</v>
      </c>
      <c r="G38">
        <f t="shared" si="10"/>
        <v>10.182608697100001</v>
      </c>
      <c r="H38">
        <f t="shared" si="11"/>
        <v>17.003898386643247</v>
      </c>
      <c r="I38">
        <v>38</v>
      </c>
      <c r="K38">
        <f t="shared" si="12"/>
        <v>23.902724638700001</v>
      </c>
      <c r="L38">
        <f t="shared" si="13"/>
        <v>10.294112019023313</v>
      </c>
      <c r="M38">
        <v>38</v>
      </c>
      <c r="O38">
        <f t="shared" si="14"/>
        <v>22.602318839399999</v>
      </c>
      <c r="P38">
        <f t="shared" si="15"/>
        <v>36.144153189554942</v>
      </c>
    </row>
    <row r="39" spans="1:16" x14ac:dyDescent="0.25">
      <c r="A39">
        <v>39</v>
      </c>
      <c r="C39">
        <f t="shared" si="8"/>
        <v>10.897681159199999</v>
      </c>
      <c r="D39">
        <f t="shared" si="9"/>
        <v>4.0235946015543442</v>
      </c>
      <c r="E39">
        <v>39</v>
      </c>
      <c r="G39">
        <f t="shared" si="10"/>
        <v>10.295652175400001</v>
      </c>
      <c r="H39">
        <f t="shared" si="11"/>
        <v>17.122235010040825</v>
      </c>
      <c r="I39">
        <v>39</v>
      </c>
      <c r="K39">
        <f t="shared" si="12"/>
        <v>24.127014493799997</v>
      </c>
      <c r="L39">
        <f t="shared" si="13"/>
        <v>10.501924491083823</v>
      </c>
      <c r="M39">
        <v>39</v>
      </c>
      <c r="O39">
        <f t="shared" si="14"/>
        <v>22.867246375600001</v>
      </c>
      <c r="P39">
        <f t="shared" si="15"/>
        <v>36.418686357714293</v>
      </c>
    </row>
    <row r="40" spans="1:16" x14ac:dyDescent="0.25">
      <c r="A40">
        <v>40</v>
      </c>
      <c r="C40">
        <f t="shared" si="8"/>
        <v>10.9913043476</v>
      </c>
      <c r="D40">
        <f t="shared" si="9"/>
        <v>4.1069352385201583</v>
      </c>
      <c r="E40">
        <v>40</v>
      </c>
      <c r="G40">
        <f t="shared" si="10"/>
        <v>10.408695653700001</v>
      </c>
      <c r="H40">
        <f t="shared" si="11"/>
        <v>17.241723656362417</v>
      </c>
      <c r="I40">
        <v>40</v>
      </c>
      <c r="K40">
        <f t="shared" si="12"/>
        <v>24.351304348900001</v>
      </c>
      <c r="L40">
        <f t="shared" si="13"/>
        <v>10.708290061783282</v>
      </c>
      <c r="M40">
        <v>40</v>
      </c>
      <c r="O40">
        <f t="shared" si="14"/>
        <v>23.132173911800002</v>
      </c>
      <c r="P40">
        <f t="shared" si="15"/>
        <v>36.6952713037061</v>
      </c>
    </row>
    <row r="41" spans="1:16" x14ac:dyDescent="0.25">
      <c r="A41">
        <v>41</v>
      </c>
      <c r="C41">
        <f t="shared" si="8"/>
        <v>11.084927536</v>
      </c>
      <c r="D41">
        <f t="shared" si="9"/>
        <v>4.1895053952628274</v>
      </c>
      <c r="E41">
        <v>41</v>
      </c>
      <c r="G41">
        <f t="shared" si="10"/>
        <v>10.521739132</v>
      </c>
      <c r="H41">
        <f t="shared" si="11"/>
        <v>17.362361069334131</v>
      </c>
      <c r="I41">
        <v>41</v>
      </c>
      <c r="K41">
        <f t="shared" si="12"/>
        <v>24.575594203999998</v>
      </c>
      <c r="L41">
        <f t="shared" si="13"/>
        <v>10.913214425883462</v>
      </c>
      <c r="M41">
        <v>41</v>
      </c>
      <c r="O41">
        <f t="shared" si="14"/>
        <v>23.397101448000001</v>
      </c>
      <c r="P41">
        <f t="shared" si="15"/>
        <v>36.973902742395133</v>
      </c>
    </row>
    <row r="42" spans="1:16" x14ac:dyDescent="0.25">
      <c r="A42">
        <v>42</v>
      </c>
      <c r="C42">
        <f t="shared" si="8"/>
        <v>11.178550724400001</v>
      </c>
      <c r="D42">
        <f t="shared" si="9"/>
        <v>4.2713087705698314</v>
      </c>
      <c r="E42">
        <v>42</v>
      </c>
      <c r="G42">
        <f t="shared" si="10"/>
        <v>10.6347826103</v>
      </c>
      <c r="H42">
        <f t="shared" si="11"/>
        <v>17.484143428019959</v>
      </c>
      <c r="I42">
        <v>42</v>
      </c>
      <c r="K42">
        <f t="shared" si="12"/>
        <v>24.799884059099998</v>
      </c>
      <c r="L42">
        <f t="shared" si="13"/>
        <v>11.116703702502834</v>
      </c>
      <c r="M42">
        <v>42</v>
      </c>
      <c r="O42">
        <f t="shared" si="14"/>
        <v>23.662028984199999</v>
      </c>
      <c r="P42">
        <f t="shared" si="15"/>
        <v>37.254574484007009</v>
      </c>
    </row>
    <row r="43" spans="1:16" x14ac:dyDescent="0.25">
      <c r="A43">
        <v>43</v>
      </c>
      <c r="C43">
        <f t="shared" si="8"/>
        <v>11.2721739128</v>
      </c>
      <c r="D43">
        <f t="shared" si="9"/>
        <v>4.3523492936783263</v>
      </c>
      <c r="E43">
        <v>43</v>
      </c>
      <c r="G43">
        <f t="shared" si="10"/>
        <v>10.7478260886</v>
      </c>
      <c r="H43">
        <f t="shared" si="11"/>
        <v>17.607066356334478</v>
      </c>
      <c r="I43">
        <v>43</v>
      </c>
      <c r="K43">
        <f t="shared" si="12"/>
        <v>25.024173914199999</v>
      </c>
      <c r="L43">
        <f t="shared" si="13"/>
        <v>11.318764425698481</v>
      </c>
      <c r="M43">
        <v>43</v>
      </c>
      <c r="O43">
        <f t="shared" si="14"/>
        <v>23.926956520399997</v>
      </c>
      <c r="P43">
        <f t="shared" si="15"/>
        <v>37.537279447973503</v>
      </c>
    </row>
    <row r="44" spans="1:16" x14ac:dyDescent="0.25">
      <c r="A44">
        <v>44</v>
      </c>
      <c r="C44">
        <f t="shared" si="8"/>
        <v>11.3657971012</v>
      </c>
      <c r="D44">
        <f t="shared" si="9"/>
        <v>4.4326311179769853</v>
      </c>
      <c r="E44">
        <v>44</v>
      </c>
      <c r="G44">
        <f t="shared" si="10"/>
        <v>10.8608695669</v>
      </c>
      <c r="H44">
        <f t="shared" si="11"/>
        <v>17.731124933850715</v>
      </c>
      <c r="I44">
        <v>44</v>
      </c>
      <c r="K44">
        <f t="shared" si="12"/>
        <v>25.248463769299999</v>
      </c>
      <c r="L44">
        <f t="shared" si="13"/>
        <v>11.519403534509332</v>
      </c>
      <c r="M44">
        <v>44</v>
      </c>
      <c r="O44">
        <f t="shared" si="14"/>
        <v>24.191884056599999</v>
      </c>
      <c r="P44">
        <f t="shared" si="15"/>
        <v>37.822009678655625</v>
      </c>
    </row>
    <row r="45" spans="1:16" x14ac:dyDescent="0.25">
      <c r="A45">
        <v>45</v>
      </c>
      <c r="C45">
        <f t="shared" si="8"/>
        <v>11.459420289600001</v>
      </c>
      <c r="D45">
        <f t="shared" si="9"/>
        <v>4.5121586144285049</v>
      </c>
      <c r="E45">
        <v>45</v>
      </c>
      <c r="G45">
        <f t="shared" si="10"/>
        <v>10.9739130452</v>
      </c>
      <c r="H45">
        <f t="shared" si="11"/>
        <v>17.856313707841799</v>
      </c>
      <c r="I45">
        <v>45</v>
      </c>
      <c r="K45">
        <f t="shared" si="12"/>
        <v>25.472753624399999</v>
      </c>
      <c r="L45">
        <f t="shared" si="13"/>
        <v>11.71862836249492</v>
      </c>
      <c r="M45">
        <v>45</v>
      </c>
      <c r="O45">
        <f t="shared" si="14"/>
        <v>24.456811592800001</v>
      </c>
      <c r="P45">
        <f t="shared" si="15"/>
        <v>38.108756362863957</v>
      </c>
    </row>
    <row r="46" spans="1:16" x14ac:dyDescent="0.25">
      <c r="A46">
        <v>46</v>
      </c>
      <c r="C46">
        <f t="shared" si="8"/>
        <v>11.553043477999999</v>
      </c>
      <c r="D46">
        <f t="shared" si="9"/>
        <v>4.5909363647360761</v>
      </c>
      <c r="E46">
        <v>46</v>
      </c>
      <c r="G46">
        <f t="shared" si="10"/>
        <v>11.0869565235</v>
      </c>
      <c r="H46">
        <f t="shared" si="11"/>
        <v>17.982626706488865</v>
      </c>
      <c r="I46">
        <v>46</v>
      </c>
      <c r="K46">
        <f t="shared" si="12"/>
        <v>25.6970434795</v>
      </c>
      <c r="L46">
        <f t="shared" si="13"/>
        <v>11.916446626805172</v>
      </c>
      <c r="M46">
        <v>46</v>
      </c>
      <c r="O46">
        <f t="shared" si="14"/>
        <v>24.721739128999999</v>
      </c>
      <c r="P46">
        <f t="shared" si="15"/>
        <v>38.397509849087804</v>
      </c>
    </row>
    <row r="47" spans="1:16" x14ac:dyDescent="0.25">
      <c r="A47">
        <v>47</v>
      </c>
      <c r="C47">
        <f t="shared" si="8"/>
        <v>11.6466666664</v>
      </c>
      <c r="D47">
        <f t="shared" si="9"/>
        <v>4.6689691542774545</v>
      </c>
      <c r="E47">
        <v>47</v>
      </c>
      <c r="G47">
        <f t="shared" si="10"/>
        <v>11.200000001799999</v>
      </c>
      <c r="H47">
        <f t="shared" si="11"/>
        <v>18.110057453182254</v>
      </c>
      <c r="I47">
        <v>47</v>
      </c>
      <c r="K47">
        <f t="shared" si="12"/>
        <v>25.9213333346</v>
      </c>
      <c r="L47">
        <f t="shared" si="13"/>
        <v>12.112866416817566</v>
      </c>
      <c r="M47">
        <v>47</v>
      </c>
      <c r="O47">
        <f t="shared" si="14"/>
        <v>24.986666665199998</v>
      </c>
      <c r="P47">
        <f t="shared" si="15"/>
        <v>38.688259668337267</v>
      </c>
    </row>
    <row r="48" spans="1:16" x14ac:dyDescent="0.25">
      <c r="A48">
        <v>48</v>
      </c>
      <c r="C48">
        <f t="shared" si="8"/>
        <v>11.7402898548</v>
      </c>
      <c r="D48">
        <f t="shared" si="9"/>
        <v>4.7462619648306044</v>
      </c>
      <c r="E48">
        <v>48</v>
      </c>
      <c r="G48">
        <f t="shared" si="10"/>
        <v>11.313043480099999</v>
      </c>
      <c r="H48">
        <f t="shared" si="11"/>
        <v>18.238598981838276</v>
      </c>
      <c r="I48">
        <v>48</v>
      </c>
      <c r="K48">
        <f t="shared" si="12"/>
        <v>26.145623189699997</v>
      </c>
      <c r="L48">
        <f t="shared" si="13"/>
        <v>12.307896182378917</v>
      </c>
      <c r="M48">
        <v>48</v>
      </c>
      <c r="O48">
        <f t="shared" si="14"/>
        <v>25.2515942014</v>
      </c>
      <c r="P48">
        <f t="shared" si="15"/>
        <v>38.980994556495787</v>
      </c>
    </row>
    <row r="49" spans="1:16" x14ac:dyDescent="0.25">
      <c r="A49">
        <v>49</v>
      </c>
      <c r="C49">
        <f t="shared" si="8"/>
        <v>11.833913043199999</v>
      </c>
      <c r="D49">
        <f t="shared" si="9"/>
        <v>4.8228199671150778</v>
      </c>
      <c r="E49">
        <v>49</v>
      </c>
      <c r="G49">
        <f t="shared" si="10"/>
        <v>11.426086958399999</v>
      </c>
      <c r="H49">
        <f t="shared" si="11"/>
        <v>18.368243853149892</v>
      </c>
      <c r="I49">
        <v>49</v>
      </c>
      <c r="K49">
        <f t="shared" si="12"/>
        <v>26.369913044800001</v>
      </c>
      <c r="L49">
        <f t="shared" si="13"/>
        <v>12.501544721689433</v>
      </c>
      <c r="M49">
        <v>49</v>
      </c>
      <c r="O49">
        <f t="shared" si="14"/>
        <v>25.516521737600002</v>
      </c>
      <c r="P49">
        <f t="shared" si="15"/>
        <v>39.275702478075203</v>
      </c>
    </row>
    <row r="50" spans="1:16" x14ac:dyDescent="0.25">
      <c r="A50">
        <v>50</v>
      </c>
      <c r="C50">
        <f t="shared" si="8"/>
        <v>11.9275362316</v>
      </c>
      <c r="D50">
        <f t="shared" si="9"/>
        <v>4.8986485131733026</v>
      </c>
      <c r="E50">
        <v>50</v>
      </c>
      <c r="G50">
        <f t="shared" si="10"/>
        <v>11.539130436699999</v>
      </c>
      <c r="H50">
        <f t="shared" si="11"/>
        <v>18.498984171686239</v>
      </c>
      <c r="I50">
        <v>50</v>
      </c>
      <c r="K50">
        <f t="shared" si="12"/>
        <v>26.594202899899997</v>
      </c>
      <c r="L50">
        <f t="shared" si="13"/>
        <v>12.693821168867141</v>
      </c>
      <c r="M50">
        <v>50</v>
      </c>
      <c r="O50">
        <f t="shared" si="14"/>
        <v>25.7814492738</v>
      </c>
      <c r="P50">
        <f t="shared" si="15"/>
        <v>39.572370651260528</v>
      </c>
    </row>
    <row r="51" spans="1:16" x14ac:dyDescent="0.25">
      <c r="A51">
        <v>51</v>
      </c>
      <c r="C51">
        <f t="shared" si="8"/>
        <v>12.02115942</v>
      </c>
      <c r="D51">
        <f t="shared" si="9"/>
        <v>4.9737531286158463</v>
      </c>
      <c r="E51">
        <v>51</v>
      </c>
      <c r="G51">
        <f t="shared" si="10"/>
        <v>11.652173914999999</v>
      </c>
      <c r="H51">
        <f t="shared" si="11"/>
        <v>18.630811603753624</v>
      </c>
      <c r="I51">
        <v>51</v>
      </c>
      <c r="K51">
        <f t="shared" si="12"/>
        <v>26.818492755000001</v>
      </c>
      <c r="L51">
        <f t="shared" si="13"/>
        <v>12.884734981230945</v>
      </c>
      <c r="M51">
        <v>51</v>
      </c>
      <c r="O51">
        <f t="shared" si="14"/>
        <v>26.046376809999998</v>
      </c>
      <c r="P51">
        <f t="shared" si="15"/>
        <v>39.870985574128085</v>
      </c>
    </row>
    <row r="52" spans="1:16" x14ac:dyDescent="0.25">
      <c r="A52">
        <v>52</v>
      </c>
      <c r="C52">
        <f t="shared" si="8"/>
        <v>12.114782608399999</v>
      </c>
      <c r="D52">
        <f t="shared" si="9"/>
        <v>5.0481395047545474</v>
      </c>
      <c r="E52">
        <v>52</v>
      </c>
      <c r="G52">
        <f t="shared" si="10"/>
        <v>11.7652173933</v>
      </c>
      <c r="H52">
        <f t="shared" si="11"/>
        <v>18.763717395928811</v>
      </c>
      <c r="I52">
        <v>52</v>
      </c>
      <c r="K52">
        <f t="shared" si="12"/>
        <v>27.042782610099998</v>
      </c>
      <c r="L52">
        <f t="shared" si="13"/>
        <v>13.074295926340401</v>
      </c>
      <c r="M52">
        <v>52</v>
      </c>
      <c r="O52">
        <f t="shared" si="14"/>
        <v>26.3113043462</v>
      </c>
      <c r="P52">
        <f t="shared" si="15"/>
        <v>40.171533051917351</v>
      </c>
    </row>
    <row r="53" spans="1:16" x14ac:dyDescent="0.25">
      <c r="A53">
        <v>53</v>
      </c>
      <c r="C53">
        <f t="shared" si="8"/>
        <v>12.208405796800001</v>
      </c>
      <c r="D53">
        <f t="shared" si="9"/>
        <v>5.1218134906470469</v>
      </c>
      <c r="E53">
        <v>53</v>
      </c>
      <c r="G53">
        <f t="shared" si="10"/>
        <v>11.8782608716</v>
      </c>
      <c r="H53">
        <f t="shared" si="11"/>
        <v>18.89769239417436</v>
      </c>
      <c r="I53">
        <v>53</v>
      </c>
      <c r="K53">
        <f t="shared" si="12"/>
        <v>27.267072465199998</v>
      </c>
      <c r="L53">
        <f t="shared" si="13"/>
        <v>13.26251406883023</v>
      </c>
      <c r="M53">
        <v>53</v>
      </c>
      <c r="O53">
        <f t="shared" si="14"/>
        <v>26.576231882400002</v>
      </c>
      <c r="P53">
        <f t="shared" si="15"/>
        <v>40.473998225235476</v>
      </c>
    </row>
    <row r="54" spans="1:16" x14ac:dyDescent="0.25">
      <c r="A54">
        <v>54</v>
      </c>
      <c r="C54">
        <f t="shared" si="8"/>
        <v>12.3020289852</v>
      </c>
      <c r="D54">
        <f t="shared" si="9"/>
        <v>5.194781085075773</v>
      </c>
      <c r="E54">
        <v>54</v>
      </c>
      <c r="G54">
        <f t="shared" si="10"/>
        <v>11.9913043499</v>
      </c>
      <c r="H54">
        <f t="shared" si="11"/>
        <v>19.032727063445748</v>
      </c>
      <c r="I54">
        <v>54</v>
      </c>
      <c r="K54">
        <f t="shared" si="12"/>
        <v>27.491362320299999</v>
      </c>
      <c r="L54">
        <f t="shared" si="13"/>
        <v>13.449399757077055</v>
      </c>
      <c r="M54">
        <v>54</v>
      </c>
      <c r="O54">
        <f t="shared" si="14"/>
        <v>26.8411594186</v>
      </c>
      <c r="P54">
        <f t="shared" si="15"/>
        <v>40.778365599071918</v>
      </c>
    </row>
    <row r="55" spans="1:16" x14ac:dyDescent="0.25">
      <c r="A55">
        <v>55</v>
      </c>
      <c r="C55">
        <f t="shared" si="8"/>
        <v>12.3956521736</v>
      </c>
      <c r="D55">
        <f t="shared" si="9"/>
        <v>5.2670484284840056</v>
      </c>
      <c r="E55">
        <v>55</v>
      </c>
      <c r="G55">
        <f t="shared" si="10"/>
        <v>12.1043478282</v>
      </c>
      <c r="H55">
        <f t="shared" si="11"/>
        <v>19.168811507700205</v>
      </c>
      <c r="I55">
        <v>55</v>
      </c>
      <c r="K55">
        <f t="shared" si="12"/>
        <v>27.715652175399999</v>
      </c>
      <c r="L55">
        <f t="shared" si="13"/>
        <v>13.6349636097353</v>
      </c>
      <c r="M55">
        <v>55</v>
      </c>
      <c r="O55">
        <f t="shared" si="14"/>
        <v>27.106086954799999</v>
      </c>
      <c r="P55">
        <f t="shared" si="15"/>
        <v>41.084619072500836</v>
      </c>
    </row>
    <row r="56" spans="1:16" x14ac:dyDescent="0.25">
      <c r="A56">
        <v>56</v>
      </c>
      <c r="C56">
        <f t="shared" si="8"/>
        <v>12.489275362000001</v>
      </c>
      <c r="D56">
        <f t="shared" si="9"/>
        <v>5.3386217948908445</v>
      </c>
      <c r="E56">
        <v>56</v>
      </c>
      <c r="G56">
        <f t="shared" si="10"/>
        <v>12.2173913065</v>
      </c>
      <c r="H56">
        <f t="shared" si="11"/>
        <v>19.305935490218506</v>
      </c>
      <c r="I56">
        <v>56</v>
      </c>
      <c r="K56">
        <f t="shared" si="12"/>
        <v>27.939942030499999</v>
      </c>
      <c r="L56">
        <f t="shared" si="13"/>
        <v>13.81921650217857</v>
      </c>
      <c r="M56">
        <v>56</v>
      </c>
      <c r="O56">
        <f t="shared" si="14"/>
        <v>27.371014491</v>
      </c>
      <c r="P56">
        <f t="shared" si="15"/>
        <v>41.392741968949281</v>
      </c>
    </row>
    <row r="57" spans="1:16" x14ac:dyDescent="0.25">
      <c r="A57">
        <v>57</v>
      </c>
      <c r="C57">
        <f t="shared" si="8"/>
        <v>12.582898550399999</v>
      </c>
      <c r="D57">
        <f t="shared" si="9"/>
        <v>5.4095075838063336</v>
      </c>
      <c r="E57">
        <v>57</v>
      </c>
      <c r="G57">
        <f t="shared" si="10"/>
        <v>12.3304347848</v>
      </c>
      <c r="H57">
        <f t="shared" si="11"/>
        <v>19.444088454152592</v>
      </c>
      <c r="I57">
        <v>57</v>
      </c>
      <c r="K57">
        <f t="shared" si="12"/>
        <v>28.1642318856</v>
      </c>
      <c r="L57">
        <f t="shared" si="13"/>
        <v>14.0021695528817</v>
      </c>
      <c r="M57">
        <v>57</v>
      </c>
      <c r="O57">
        <f t="shared" si="14"/>
        <v>27.635942027199999</v>
      </c>
      <c r="P57">
        <f t="shared" si="15"/>
        <v>41.702717066911028</v>
      </c>
    </row>
    <row r="58" spans="1:16" x14ac:dyDescent="0.25">
      <c r="A58">
        <v>58</v>
      </c>
      <c r="C58">
        <f t="shared" si="8"/>
        <v>12.6765217388</v>
      </c>
      <c r="D58">
        <f t="shared" si="9"/>
        <v>5.4797123121671216</v>
      </c>
      <c r="E58">
        <v>58</v>
      </c>
      <c r="G58">
        <f t="shared" si="10"/>
        <v>12.443478263100001</v>
      </c>
      <c r="H58">
        <f t="shared" si="11"/>
        <v>19.583259543214254</v>
      </c>
      <c r="I58">
        <v>58</v>
      </c>
      <c r="K58">
        <f t="shared" si="12"/>
        <v>28.3885217407</v>
      </c>
      <c r="L58">
        <f t="shared" si="13"/>
        <v>14.183834109777925</v>
      </c>
      <c r="M58">
        <v>58</v>
      </c>
      <c r="O58">
        <f t="shared" si="14"/>
        <v>27.900869563400001</v>
      </c>
      <c r="P58">
        <f t="shared" si="15"/>
        <v>42.01452663098781</v>
      </c>
    </row>
    <row r="59" spans="1:16" x14ac:dyDescent="0.25">
      <c r="A59">
        <v>59</v>
      </c>
      <c r="C59">
        <f t="shared" si="8"/>
        <v>12.7701449272</v>
      </c>
      <c r="D59">
        <f t="shared" si="9"/>
        <v>5.5492426063121414</v>
      </c>
      <c r="E59">
        <v>59</v>
      </c>
      <c r="G59">
        <f t="shared" si="10"/>
        <v>12.556521741400001</v>
      </c>
      <c r="H59">
        <f t="shared" si="11"/>
        <v>19.723437622422917</v>
      </c>
      <c r="I59">
        <v>59</v>
      </c>
      <c r="K59">
        <f t="shared" si="12"/>
        <v>28.612811595799997</v>
      </c>
      <c r="L59">
        <f t="shared" si="13"/>
        <v>14.364221736624291</v>
      </c>
      <c r="M59">
        <v>59</v>
      </c>
      <c r="O59">
        <f t="shared" si="14"/>
        <v>28.165797099599999</v>
      </c>
      <c r="P59">
        <f t="shared" si="15"/>
        <v>42.328152443142983</v>
      </c>
    </row>
    <row r="60" spans="1:16" x14ac:dyDescent="0.25">
      <c r="A60">
        <v>60</v>
      </c>
      <c r="C60">
        <f t="shared" si="8"/>
        <v>12.863768115599999</v>
      </c>
      <c r="D60">
        <f t="shared" si="9"/>
        <v>5.6181051940169739</v>
      </c>
      <c r="E60">
        <v>60</v>
      </c>
      <c r="G60">
        <f t="shared" si="10"/>
        <v>12.669565219700001</v>
      </c>
      <c r="H60">
        <f t="shared" si="11"/>
        <v>19.864611298833847</v>
      </c>
      <c r="I60">
        <v>60</v>
      </c>
      <c r="K60">
        <f t="shared" si="12"/>
        <v>28.837101450900001</v>
      </c>
      <c r="L60">
        <f t="shared" si="13"/>
        <v>14.543344199407269</v>
      </c>
      <c r="M60">
        <v>60</v>
      </c>
      <c r="O60">
        <f t="shared" si="14"/>
        <v>28.430724635799997</v>
      </c>
      <c r="P60">
        <f t="shared" si="15"/>
        <v>42.643575834055909</v>
      </c>
    </row>
    <row r="61" spans="1:16" x14ac:dyDescent="0.25">
      <c r="A61">
        <v>61</v>
      </c>
      <c r="C61">
        <f t="shared" si="8"/>
        <v>12.957391304</v>
      </c>
      <c r="D61">
        <f t="shared" si="9"/>
        <v>5.6863068966044965</v>
      </c>
      <c r="E61">
        <v>61</v>
      </c>
      <c r="G61">
        <f t="shared" si="10"/>
        <v>12.782608698000001</v>
      </c>
      <c r="H61">
        <f t="shared" si="11"/>
        <v>20.006768942171803</v>
      </c>
      <c r="I61">
        <v>61</v>
      </c>
      <c r="K61">
        <f t="shared" si="12"/>
        <v>29.061391305999997</v>
      </c>
      <c r="L61">
        <f t="shared" si="13"/>
        <v>14.72121345281912</v>
      </c>
      <c r="M61">
        <v>61</v>
      </c>
      <c r="O61">
        <f t="shared" si="14"/>
        <v>28.695652171999999</v>
      </c>
      <c r="P61">
        <f t="shared" si="15"/>
        <v>42.960777714469778</v>
      </c>
    </row>
    <row r="62" spans="1:16" x14ac:dyDescent="0.25">
      <c r="A62">
        <v>62</v>
      </c>
      <c r="C62">
        <f t="shared" si="8"/>
        <v>13.0510144924</v>
      </c>
      <c r="D62">
        <f t="shared" si="9"/>
        <v>5.7538546211484105</v>
      </c>
      <c r="E62">
        <v>62</v>
      </c>
      <c r="G62">
        <f t="shared" si="10"/>
        <v>12.8956521763</v>
      </c>
      <c r="H62">
        <f t="shared" si="11"/>
        <v>20.149898705299258</v>
      </c>
      <c r="I62">
        <v>62</v>
      </c>
      <c r="K62">
        <f t="shared" si="12"/>
        <v>29.285681161100001</v>
      </c>
      <c r="L62">
        <f t="shared" si="13"/>
        <v>14.897841626834275</v>
      </c>
      <c r="M62">
        <v>62</v>
      </c>
      <c r="O62">
        <f t="shared" si="14"/>
        <v>28.960579708200001</v>
      </c>
      <c r="P62">
        <f t="shared" si="15"/>
        <v>43.279738606429945</v>
      </c>
    </row>
    <row r="63" spans="1:16" x14ac:dyDescent="0.25">
      <c r="A63">
        <v>63</v>
      </c>
      <c r="C63">
        <f t="shared" si="8"/>
        <v>13.144637680799999</v>
      </c>
      <c r="D63">
        <f t="shared" si="9"/>
        <v>5.8207553527852607</v>
      </c>
      <c r="E63">
        <v>63</v>
      </c>
      <c r="G63">
        <f t="shared" si="10"/>
        <v>13.0086956546</v>
      </c>
      <c r="H63">
        <f t="shared" si="11"/>
        <v>20.293988544452496</v>
      </c>
      <c r="I63">
        <v>63</v>
      </c>
      <c r="K63">
        <f t="shared" si="12"/>
        <v>29.509971016199998</v>
      </c>
      <c r="L63">
        <f t="shared" si="13"/>
        <v>15.073241013413277</v>
      </c>
      <c r="M63">
        <v>63</v>
      </c>
      <c r="O63">
        <f t="shared" si="14"/>
        <v>29.225507244399999</v>
      </c>
      <c r="P63">
        <f t="shared" si="15"/>
        <v>43.600438674315306</v>
      </c>
    </row>
    <row r="64" spans="1:16" x14ac:dyDescent="0.25">
      <c r="A64">
        <v>64</v>
      </c>
      <c r="C64">
        <f t="shared" si="8"/>
        <v>13.238260869200001</v>
      </c>
      <c r="D64">
        <f t="shared" si="9"/>
        <v>5.8870161471494376</v>
      </c>
      <c r="E64">
        <v>64</v>
      </c>
      <c r="G64">
        <f t="shared" si="10"/>
        <v>13.1217391329</v>
      </c>
      <c r="H64">
        <f t="shared" si="11"/>
        <v>20.439026239183661</v>
      </c>
      <c r="I64">
        <v>64</v>
      </c>
      <c r="K64">
        <f t="shared" si="12"/>
        <v>29.734260871299998</v>
      </c>
      <c r="L64">
        <f t="shared" si="13"/>
        <v>15.24742405336052</v>
      </c>
      <c r="M64">
        <v>64</v>
      </c>
      <c r="O64">
        <f t="shared" si="14"/>
        <v>29.490434780600001</v>
      </c>
      <c r="P64">
        <f t="shared" si="15"/>
        <v>43.922857755570313</v>
      </c>
    </row>
    <row r="65" spans="1:16" x14ac:dyDescent="0.25">
      <c r="A65">
        <v>65</v>
      </c>
      <c r="C65">
        <f t="shared" ref="C65:C70" si="16">7.34+(A65-1)*0.0936231884</f>
        <v>13.3318840576</v>
      </c>
      <c r="D65">
        <f t="shared" ref="D65:D70" si="17">0+1*C65-6.63000170277351*(1.05555555555556+(C65-9.72222222222222)^2/71.1111111111111)^0.5</f>
        <v>5.9526441229445712</v>
      </c>
      <c r="E65">
        <v>65</v>
      </c>
      <c r="G65">
        <f t="shared" ref="G65:G70" si="18">6+(E65-1)*0.1130434783</f>
        <v>13.2347826112</v>
      </c>
      <c r="H65">
        <f t="shared" ref="H65:H70" si="19">0+1*G65+6.63000170277351*(1.05555555555556+(G65-9.72222222222222)^2/71.1111111111111)^0.5</f>
        <v>20.584999411951333</v>
      </c>
      <c r="I65">
        <v>65</v>
      </c>
      <c r="K65">
        <f t="shared" ref="K65:K70" si="20">15.604+(I65-1)*0.2242898551</f>
        <v>29.958550726399999</v>
      </c>
      <c r="L65">
        <f t="shared" ref="L65:L70" si="21">0+1*K65-13.1632719596133*(1.05555555555556+(K65-21.5)^2/435.6)^0.5</f>
        <v>15.420403323360178</v>
      </c>
      <c r="M65">
        <v>65</v>
      </c>
      <c r="O65">
        <f t="shared" ref="O65:O70" si="22">12.8+(M65-1)*0.2649275362</f>
        <v>29.755362316799999</v>
      </c>
      <c r="P65">
        <f t="shared" ref="P65:P70" si="23">0+1*O65+13.1632719596133*(1.05555555555556+(O65-21.5)^2/435.6)^0.5</f>
        <v>44.246975391051258</v>
      </c>
    </row>
    <row r="66" spans="1:16" x14ac:dyDescent="0.25">
      <c r="A66">
        <v>66</v>
      </c>
      <c r="C66">
        <f t="shared" si="16"/>
        <v>13.425507245999999</v>
      </c>
      <c r="D66">
        <f t="shared" si="17"/>
        <v>6.0176464546636623</v>
      </c>
      <c r="E66">
        <v>66</v>
      </c>
      <c r="G66">
        <f t="shared" si="18"/>
        <v>13.3478260895</v>
      </c>
      <c r="H66">
        <f t="shared" si="19"/>
        <v>20.731895547307222</v>
      </c>
      <c r="I66">
        <v>66</v>
      </c>
      <c r="K66">
        <f t="shared" si="20"/>
        <v>30.182840581499999</v>
      </c>
      <c r="L66">
        <f t="shared" si="21"/>
        <v>15.592191523213311</v>
      </c>
      <c r="M66">
        <v>66</v>
      </c>
      <c r="O66">
        <f t="shared" si="22"/>
        <v>30.020289852999998</v>
      </c>
      <c r="P66">
        <f t="shared" si="23"/>
        <v>44.572770854906302</v>
      </c>
    </row>
    <row r="67" spans="1:16" x14ac:dyDescent="0.25">
      <c r="A67">
        <v>67</v>
      </c>
      <c r="C67">
        <f t="shared" si="16"/>
        <v>13.519130434400001</v>
      </c>
      <c r="D67">
        <f t="shared" si="17"/>
        <v>6.0820303654691967</v>
      </c>
      <c r="E67">
        <v>67</v>
      </c>
      <c r="G67">
        <f t="shared" si="18"/>
        <v>13.4608695678</v>
      </c>
      <c r="H67">
        <f t="shared" si="19"/>
        <v>20.879702010631419</v>
      </c>
      <c r="I67">
        <v>67</v>
      </c>
      <c r="K67">
        <f t="shared" si="20"/>
        <v>30.407130436599999</v>
      </c>
      <c r="L67">
        <f t="shared" si="21"/>
        <v>15.762801463297295</v>
      </c>
      <c r="M67">
        <v>67</v>
      </c>
      <c r="O67">
        <f t="shared" si="22"/>
        <v>30.2852173892</v>
      </c>
      <c r="P67">
        <f t="shared" si="23"/>
        <v>44.900223183915003</v>
      </c>
    </row>
    <row r="68" spans="1:16" x14ac:dyDescent="0.25">
      <c r="A68">
        <v>68</v>
      </c>
      <c r="C68">
        <f t="shared" si="16"/>
        <v>13.6127536228</v>
      </c>
      <c r="D68">
        <f t="shared" si="17"/>
        <v>6.1458031202433858</v>
      </c>
      <c r="E68">
        <v>68</v>
      </c>
      <c r="G68">
        <f t="shared" si="18"/>
        <v>13.573913046099999</v>
      </c>
      <c r="H68">
        <f t="shared" si="19"/>
        <v>21.028406066373527</v>
      </c>
      <c r="I68">
        <v>68</v>
      </c>
      <c r="K68">
        <f t="shared" si="20"/>
        <v>30.631420291699996</v>
      </c>
      <c r="L68">
        <f t="shared" si="21"/>
        <v>15.932246052267161</v>
      </c>
      <c r="M68">
        <v>68</v>
      </c>
      <c r="O68">
        <f t="shared" si="22"/>
        <v>30.550144925399998</v>
      </c>
      <c r="P68">
        <f t="shared" si="23"/>
        <v>45.229311206219123</v>
      </c>
    </row>
    <row r="69" spans="1:16" x14ac:dyDescent="0.25">
      <c r="A69">
        <v>69</v>
      </c>
      <c r="C69">
        <f t="shared" si="16"/>
        <v>13.7063768112</v>
      </c>
      <c r="D69">
        <f t="shared" si="17"/>
        <v>6.2089720188176436</v>
      </c>
      <c r="E69">
        <v>69</v>
      </c>
      <c r="G69">
        <f t="shared" si="18"/>
        <v>13.686956524399999</v>
      </c>
      <c r="H69">
        <f t="shared" si="19"/>
        <v>21.177994895761994</v>
      </c>
      <c r="I69">
        <v>69</v>
      </c>
      <c r="K69">
        <f t="shared" si="20"/>
        <v>30.8557101468</v>
      </c>
      <c r="L69">
        <f t="shared" si="21"/>
        <v>16.100538285016725</v>
      </c>
      <c r="M69">
        <v>69</v>
      </c>
      <c r="O69">
        <f t="shared" si="22"/>
        <v>30.8150724616</v>
      </c>
      <c r="P69">
        <f t="shared" si="23"/>
        <v>45.560013569383244</v>
      </c>
    </row>
    <row r="70" spans="1:16" x14ac:dyDescent="0.25">
      <c r="A70">
        <v>70</v>
      </c>
      <c r="C70">
        <f t="shared" si="16"/>
        <v>13.799999999600001</v>
      </c>
      <c r="D70">
        <f t="shared" si="17"/>
        <v>6.271544389389299</v>
      </c>
      <c r="E70">
        <v>70</v>
      </c>
      <c r="G70">
        <f t="shared" si="18"/>
        <v>13.800000002699999</v>
      </c>
      <c r="H70">
        <f t="shared" si="19"/>
        <v>21.328455613948634</v>
      </c>
      <c r="I70">
        <v>70</v>
      </c>
      <c r="K70">
        <f t="shared" si="20"/>
        <v>31.080000001899997</v>
      </c>
      <c r="L70">
        <f t="shared" si="21"/>
        <v>16.267691230915716</v>
      </c>
      <c r="M70">
        <v>70</v>
      </c>
      <c r="O70">
        <f t="shared" si="22"/>
        <v>31.079999997799998</v>
      </c>
      <c r="P70">
        <f t="shared" si="23"/>
        <v>45.892308767729489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9E755C-255F-4A3E-9364-1B03FCEA297D}">
  <sheetPr codeName="XLSTAT_20230621_072543_1_HID">
    <tabColor rgb="FF007800"/>
  </sheetPr>
  <dimension ref="A1:H70"/>
  <sheetViews>
    <sheetView workbookViewId="0">
      <selection activeCell="E1" sqref="E1"/>
    </sheetView>
  </sheetViews>
  <sheetFormatPr baseColWidth="10" defaultRowHeight="15" x14ac:dyDescent="0.25"/>
  <sheetData>
    <row r="1" spans="1:8" x14ac:dyDescent="0.25">
      <c r="A1">
        <v>1</v>
      </c>
      <c r="C1">
        <f t="shared" ref="C1:C32" si="0">15.604+(A1-1)*0.2242898551</f>
        <v>15.603999999999999</v>
      </c>
      <c r="D1">
        <f t="shared" ref="D1:D32" si="1">0+1*C1-13.1632719596133*(1.05555555555556+(C1-21.5)^2/435.6)^0.5</f>
        <v>1.5781028851185965</v>
      </c>
      <c r="E1">
        <v>1</v>
      </c>
      <c r="G1">
        <f t="shared" ref="G1:G32" si="2">12.8+(E1-1)*0.2649275362</f>
        <v>12.8</v>
      </c>
      <c r="H1">
        <f t="shared" ref="H1:H32" si="3">0+1*G1+13.1632719596133*(1.05555555555556+(G1-21.5)^2/435.6)^0.5</f>
        <v>27.394714409251293</v>
      </c>
    </row>
    <row r="2" spans="1:8" x14ac:dyDescent="0.25">
      <c r="A2">
        <v>2</v>
      </c>
      <c r="C2">
        <f t="shared" si="0"/>
        <v>15.8282898551</v>
      </c>
      <c r="D2">
        <f t="shared" si="1"/>
        <v>1.8392316637693842</v>
      </c>
      <c r="E2">
        <v>2</v>
      </c>
      <c r="G2">
        <f t="shared" si="2"/>
        <v>13.064927536200001</v>
      </c>
      <c r="H2">
        <f t="shared" si="3"/>
        <v>27.597647804526989</v>
      </c>
    </row>
    <row r="3" spans="1:8" x14ac:dyDescent="0.25">
      <c r="A3">
        <v>3</v>
      </c>
      <c r="C3">
        <f t="shared" si="0"/>
        <v>16.0525797102</v>
      </c>
      <c r="D3">
        <f t="shared" si="1"/>
        <v>2.0990235544993343</v>
      </c>
      <c r="E3">
        <v>3</v>
      </c>
      <c r="G3">
        <f t="shared" si="2"/>
        <v>13.329855072400001</v>
      </c>
      <c r="H3">
        <f t="shared" si="3"/>
        <v>27.802244832178854</v>
      </c>
    </row>
    <row r="4" spans="1:8" x14ac:dyDescent="0.25">
      <c r="A4">
        <v>4</v>
      </c>
      <c r="C4">
        <f t="shared" si="0"/>
        <v>16.2768695653</v>
      </c>
      <c r="D4">
        <f t="shared" si="1"/>
        <v>2.357468327933077</v>
      </c>
      <c r="E4">
        <v>4</v>
      </c>
      <c r="G4">
        <f t="shared" si="2"/>
        <v>13.594782608600001</v>
      </c>
      <c r="H4">
        <f t="shared" si="3"/>
        <v>28.00852638223968</v>
      </c>
    </row>
    <row r="5" spans="1:8" x14ac:dyDescent="0.25">
      <c r="A5">
        <v>5</v>
      </c>
      <c r="C5">
        <f t="shared" si="0"/>
        <v>16.5011594204</v>
      </c>
      <c r="D5">
        <f t="shared" si="1"/>
        <v>2.6145560441242246</v>
      </c>
      <c r="E5">
        <v>5</v>
      </c>
      <c r="G5">
        <f t="shared" si="2"/>
        <v>13.859710144800001</v>
      </c>
      <c r="H5">
        <f t="shared" si="3"/>
        <v>28.216513097999446</v>
      </c>
    </row>
    <row r="6" spans="1:8" x14ac:dyDescent="0.25">
      <c r="A6">
        <v>6</v>
      </c>
      <c r="C6">
        <f t="shared" si="0"/>
        <v>16.725449275499997</v>
      </c>
      <c r="D6">
        <f t="shared" si="1"/>
        <v>2.8702770658218473</v>
      </c>
      <c r="E6">
        <v>6</v>
      </c>
      <c r="G6">
        <f t="shared" si="2"/>
        <v>14.124637681000001</v>
      </c>
      <c r="H6">
        <f t="shared" si="3"/>
        <v>28.426225346484244</v>
      </c>
    </row>
    <row r="7" spans="1:8" x14ac:dyDescent="0.25">
      <c r="A7">
        <v>7</v>
      </c>
      <c r="C7">
        <f t="shared" si="0"/>
        <v>16.949739130599998</v>
      </c>
      <c r="D7">
        <f t="shared" si="1"/>
        <v>3.124622071553306</v>
      </c>
      <c r="E7">
        <v>7</v>
      </c>
      <c r="G7">
        <f t="shared" si="2"/>
        <v>14.389565217200001</v>
      </c>
      <c r="H7">
        <f t="shared" si="3"/>
        <v>28.637683188417839</v>
      </c>
    </row>
    <row r="8" spans="1:8" x14ac:dyDescent="0.25">
      <c r="A8">
        <v>8</v>
      </c>
      <c r="C8">
        <f t="shared" si="0"/>
        <v>17.174028985699998</v>
      </c>
      <c r="D8">
        <f t="shared" si="1"/>
        <v>3.3775820684856956</v>
      </c>
      <c r="E8">
        <v>8</v>
      </c>
      <c r="G8">
        <f t="shared" si="2"/>
        <v>14.6544927534</v>
      </c>
      <c r="H8">
        <f t="shared" si="3"/>
        <v>28.850906347742249</v>
      </c>
    </row>
    <row r="9" spans="1:8" x14ac:dyDescent="0.25">
      <c r="A9">
        <v>9</v>
      </c>
      <c r="C9">
        <f t="shared" si="0"/>
        <v>17.398318840799998</v>
      </c>
      <c r="D9">
        <f t="shared" si="1"/>
        <v>3.6291484050278324</v>
      </c>
      <c r="E9">
        <v>9</v>
      </c>
      <c r="G9">
        <f t="shared" si="2"/>
        <v>14.919420289600001</v>
      </c>
      <c r="H9">
        <f t="shared" si="3"/>
        <v>29.065914180779721</v>
      </c>
    </row>
    <row r="10" spans="1:8" x14ac:dyDescent="0.25">
      <c r="A10">
        <v>10</v>
      </c>
      <c r="C10">
        <f t="shared" si="0"/>
        <v>17.622608695899999</v>
      </c>
      <c r="D10">
        <f t="shared" si="1"/>
        <v>3.8793127831345835</v>
      </c>
      <c r="E10">
        <v>10</v>
      </c>
      <c r="G10">
        <f t="shared" si="2"/>
        <v>15.1843478258</v>
      </c>
      <c r="H10">
        <f t="shared" si="3"/>
        <v>29.282725645124458</v>
      </c>
    </row>
    <row r="11" spans="1:8" x14ac:dyDescent="0.25">
      <c r="A11">
        <v>11</v>
      </c>
      <c r="C11">
        <f t="shared" si="0"/>
        <v>17.846898550999999</v>
      </c>
      <c r="D11">
        <f t="shared" si="1"/>
        <v>4.1280672702753538</v>
      </c>
      <c r="E11">
        <v>11</v>
      </c>
      <c r="G11">
        <f t="shared" si="2"/>
        <v>15.449275362000002</v>
      </c>
      <c r="H11">
        <f t="shared" si="3"/>
        <v>29.501359268358144</v>
      </c>
    </row>
    <row r="12" spans="1:8" x14ac:dyDescent="0.25">
      <c r="A12">
        <v>12</v>
      </c>
      <c r="C12">
        <f t="shared" si="0"/>
        <v>18.071188406099999</v>
      </c>
      <c r="D12">
        <f t="shared" si="1"/>
        <v>4.3754043110287899</v>
      </c>
      <c r="E12">
        <v>12</v>
      </c>
      <c r="G12">
        <f t="shared" si="2"/>
        <v>15.7142028982</v>
      </c>
      <c r="H12">
        <f t="shared" si="3"/>
        <v>29.721833116688572</v>
      </c>
    </row>
    <row r="13" spans="1:8" x14ac:dyDescent="0.25">
      <c r="A13">
        <v>13</v>
      </c>
      <c r="C13">
        <f t="shared" si="0"/>
        <v>18.2954782612</v>
      </c>
      <c r="D13">
        <f t="shared" si="1"/>
        <v>4.6213167382661684</v>
      </c>
      <c r="E13">
        <v>13</v>
      </c>
      <c r="G13">
        <f t="shared" si="2"/>
        <v>15.9791304344</v>
      </c>
      <c r="H13">
        <f t="shared" si="3"/>
        <v>29.944164763615731</v>
      </c>
    </row>
    <row r="14" spans="1:8" x14ac:dyDescent="0.25">
      <c r="A14">
        <v>14</v>
      </c>
      <c r="C14">
        <f t="shared" si="0"/>
        <v>18.5197681163</v>
      </c>
      <c r="D14">
        <f t="shared" si="1"/>
        <v>4.8657977838866238</v>
      </c>
      <c r="E14">
        <v>14</v>
      </c>
      <c r="G14">
        <f t="shared" si="2"/>
        <v>16.2440579706</v>
      </c>
      <c r="H14">
        <f t="shared" si="3"/>
        <v>30.168371258734123</v>
      </c>
    </row>
    <row r="15" spans="1:8" x14ac:dyDescent="0.25">
      <c r="A15">
        <v>15</v>
      </c>
      <c r="C15">
        <f t="shared" si="0"/>
        <v>18.7440579714</v>
      </c>
      <c r="D15">
        <f t="shared" si="1"/>
        <v>5.1088410890681555</v>
      </c>
      <c r="E15">
        <v>15</v>
      </c>
      <c r="G15">
        <f t="shared" si="2"/>
        <v>16.508985506800002</v>
      </c>
      <c r="H15">
        <f t="shared" si="3"/>
        <v>30.394469096784114</v>
      </c>
    </row>
    <row r="16" spans="1:8" x14ac:dyDescent="0.25">
      <c r="A16">
        <v>16</v>
      </c>
      <c r="C16">
        <f t="shared" si="0"/>
        <v>18.968347826500001</v>
      </c>
      <c r="D16">
        <f t="shared" si="1"/>
        <v>5.3504407139994825</v>
      </c>
      <c r="E16">
        <v>16</v>
      </c>
      <c r="G16">
        <f t="shared" si="2"/>
        <v>16.773913043</v>
      </c>
      <c r="H16">
        <f t="shared" si="3"/>
        <v>30.622474187068459</v>
      </c>
    </row>
    <row r="17" spans="1:8" x14ac:dyDescent="0.25">
      <c r="A17">
        <v>17</v>
      </c>
      <c r="C17">
        <f t="shared" si="0"/>
        <v>19.192637681599997</v>
      </c>
      <c r="D17">
        <f t="shared" si="1"/>
        <v>5.5905911470589871</v>
      </c>
      <c r="E17">
        <v>17</v>
      </c>
      <c r="G17">
        <f t="shared" si="2"/>
        <v>17.038840579199999</v>
      </c>
      <c r="H17">
        <f t="shared" si="3"/>
        <v>30.852401823352871</v>
      </c>
    </row>
    <row r="18" spans="1:8" x14ac:dyDescent="0.25">
      <c r="A18">
        <v>18</v>
      </c>
      <c r="C18">
        <f t="shared" si="0"/>
        <v>19.416927536699998</v>
      </c>
      <c r="D18">
        <f t="shared" si="1"/>
        <v>5.8292873134085355</v>
      </c>
      <c r="E18">
        <v>18</v>
      </c>
      <c r="G18">
        <f t="shared" si="2"/>
        <v>17.3037681154</v>
      </c>
      <c r="H18">
        <f t="shared" si="3"/>
        <v>31.084266654371547</v>
      </c>
    </row>
    <row r="19" spans="1:8" x14ac:dyDescent="0.25">
      <c r="A19">
        <v>19</v>
      </c>
      <c r="C19">
        <f t="shared" si="0"/>
        <v>19.641217391799998</v>
      </c>
      <c r="D19">
        <f t="shared" si="1"/>
        <v>6.0665245829715388</v>
      </c>
      <c r="E19">
        <v>19</v>
      </c>
      <c r="G19">
        <f t="shared" si="2"/>
        <v>17.568695651600002</v>
      </c>
      <c r="H19">
        <f t="shared" si="3"/>
        <v>31.318082655059701</v>
      </c>
    </row>
    <row r="20" spans="1:8" x14ac:dyDescent="0.25">
      <c r="A20">
        <v>20</v>
      </c>
      <c r="C20">
        <f t="shared" si="0"/>
        <v>19.865507246899998</v>
      </c>
      <c r="D20">
        <f t="shared" si="1"/>
        <v>6.3022987777665911</v>
      </c>
      <c r="E20">
        <v>20</v>
      </c>
      <c r="G20">
        <f t="shared" si="2"/>
        <v>17.833623187800001</v>
      </c>
      <c r="H20">
        <f t="shared" si="3"/>
        <v>31.55386309863578</v>
      </c>
    </row>
    <row r="21" spans="1:8" x14ac:dyDescent="0.25">
      <c r="A21">
        <v>21</v>
      </c>
      <c r="C21">
        <f t="shared" si="0"/>
        <v>20.089797101999999</v>
      </c>
      <c r="D21">
        <f t="shared" si="1"/>
        <v>6.5366061785699241</v>
      </c>
      <c r="E21">
        <v>21</v>
      </c>
      <c r="G21">
        <f t="shared" si="2"/>
        <v>18.098550723999999</v>
      </c>
      <c r="H21">
        <f t="shared" si="3"/>
        <v>31.791620529655361</v>
      </c>
    </row>
    <row r="22" spans="1:8" x14ac:dyDescent="0.25">
      <c r="A22">
        <v>22</v>
      </c>
      <c r="C22">
        <f t="shared" si="0"/>
        <v>20.314086957099999</v>
      </c>
      <c r="D22">
        <f t="shared" si="1"/>
        <v>6.7694435308822154</v>
      </c>
      <c r="E22">
        <v>22</v>
      </c>
      <c r="G22">
        <f t="shared" si="2"/>
        <v>18.363478260200001</v>
      </c>
      <c r="H22">
        <f t="shared" si="3"/>
        <v>32.031366738157566</v>
      </c>
    </row>
    <row r="23" spans="1:8" x14ac:dyDescent="0.25">
      <c r="A23">
        <v>23</v>
      </c>
      <c r="C23">
        <f t="shared" si="0"/>
        <v>20.538376812199999</v>
      </c>
      <c r="D23">
        <f t="shared" si="1"/>
        <v>7.0008080501776266</v>
      </c>
      <c r="E23">
        <v>23</v>
      </c>
      <c r="G23">
        <f t="shared" si="2"/>
        <v>18.628405796399999</v>
      </c>
      <c r="H23">
        <f t="shared" si="3"/>
        <v>32.273112735022565</v>
      </c>
    </row>
    <row r="24" spans="1:8" x14ac:dyDescent="0.25">
      <c r="A24">
        <v>24</v>
      </c>
      <c r="C24">
        <f t="shared" si="0"/>
        <v>20.7626666673</v>
      </c>
      <c r="D24">
        <f t="shared" si="1"/>
        <v>7.2306974264154569</v>
      </c>
      <c r="E24">
        <v>24</v>
      </c>
      <c r="G24">
        <f t="shared" si="2"/>
        <v>18.893333332600001</v>
      </c>
      <c r="H24">
        <f t="shared" si="3"/>
        <v>32.516868728655581</v>
      </c>
    </row>
    <row r="25" spans="1:8" x14ac:dyDescent="0.25">
      <c r="A25">
        <v>25</v>
      </c>
      <c r="C25">
        <f t="shared" si="0"/>
        <v>20.9869565224</v>
      </c>
      <c r="D25">
        <f t="shared" si="1"/>
        <v>7.4591098277974588</v>
      </c>
      <c r="E25">
        <v>25</v>
      </c>
      <c r="G25">
        <f t="shared" si="2"/>
        <v>19.158260868799999</v>
      </c>
      <c r="H25">
        <f t="shared" si="3"/>
        <v>32.76264410310867</v>
      </c>
    </row>
    <row r="26" spans="1:8" x14ac:dyDescent="0.25">
      <c r="A26">
        <v>26</v>
      </c>
      <c r="C26">
        <f t="shared" si="0"/>
        <v>21.2112463775</v>
      </c>
      <c r="D26">
        <f t="shared" si="1"/>
        <v>7.6860439037566035</v>
      </c>
      <c r="E26">
        <v>26</v>
      </c>
      <c r="G26">
        <f t="shared" si="2"/>
        <v>19.423188405000001</v>
      </c>
      <c r="H26">
        <f t="shared" si="3"/>
        <v>33.010447397746596</v>
      </c>
    </row>
    <row r="27" spans="1:8" x14ac:dyDescent="0.25">
      <c r="A27">
        <v>27</v>
      </c>
      <c r="C27">
        <f t="shared" si="0"/>
        <v>21.435536232600001</v>
      </c>
      <c r="D27">
        <f t="shared" si="1"/>
        <v>7.9114987871659572</v>
      </c>
      <c r="E27">
        <v>27</v>
      </c>
      <c r="G27">
        <f t="shared" si="2"/>
        <v>19.6881159412</v>
      </c>
      <c r="H27">
        <f t="shared" si="3"/>
        <v>33.260286288557225</v>
      </c>
    </row>
    <row r="28" spans="1:8" x14ac:dyDescent="0.25">
      <c r="A28">
        <v>28</v>
      </c>
      <c r="C28">
        <f t="shared" si="0"/>
        <v>21.659826087699997</v>
      </c>
      <c r="D28">
        <f t="shared" si="1"/>
        <v>8.1354740957592426</v>
      </c>
      <c r="E28">
        <v>28</v>
      </c>
      <c r="G28">
        <f t="shared" si="2"/>
        <v>19.953043477400001</v>
      </c>
      <c r="H28">
        <f t="shared" si="3"/>
        <v>33.512167571199981</v>
      </c>
    </row>
    <row r="29" spans="1:8" x14ac:dyDescent="0.25">
      <c r="A29">
        <v>29</v>
      </c>
      <c r="C29">
        <f t="shared" si="0"/>
        <v>21.884115942800001</v>
      </c>
      <c r="D29">
        <f t="shared" si="1"/>
        <v>8.3579699327576833</v>
      </c>
      <c r="E29">
        <v>29</v>
      </c>
      <c r="G29">
        <f t="shared" si="2"/>
        <v>20.2179710136</v>
      </c>
      <c r="H29">
        <f t="shared" si="3"/>
        <v>33.766097145878462</v>
      </c>
    </row>
    <row r="30" spans="1:8" x14ac:dyDescent="0.25">
      <c r="A30">
        <v>30</v>
      </c>
      <c r="C30">
        <f t="shared" si="0"/>
        <v>22.108405797899998</v>
      </c>
      <c r="D30">
        <f t="shared" si="1"/>
        <v>8.5789868867006867</v>
      </c>
      <c r="E30">
        <v>30</v>
      </c>
      <c r="G30">
        <f t="shared" si="2"/>
        <v>20.482898549799998</v>
      </c>
      <c r="H30">
        <f t="shared" si="3"/>
        <v>34.02208000411477</v>
      </c>
    </row>
    <row r="31" spans="1:8" x14ac:dyDescent="0.25">
      <c r="A31">
        <v>31</v>
      </c>
      <c r="C31">
        <f t="shared" si="0"/>
        <v>22.332695652999998</v>
      </c>
      <c r="D31">
        <f t="shared" si="1"/>
        <v>8.7985260304810922</v>
      </c>
      <c r="E31">
        <v>31</v>
      </c>
      <c r="G31">
        <f t="shared" si="2"/>
        <v>20.747826086</v>
      </c>
      <c r="H31">
        <f t="shared" si="3"/>
        <v>34.280120217494137</v>
      </c>
    </row>
    <row r="32" spans="1:8" x14ac:dyDescent="0.25">
      <c r="A32">
        <v>32</v>
      </c>
      <c r="C32">
        <f t="shared" si="0"/>
        <v>22.556985508099999</v>
      </c>
      <c r="D32">
        <f t="shared" si="1"/>
        <v>9.0165889195885818</v>
      </c>
      <c r="E32">
        <v>32</v>
      </c>
      <c r="G32">
        <f t="shared" si="2"/>
        <v>21.012753622200002</v>
      </c>
      <c r="H32">
        <f t="shared" si="3"/>
        <v>34.540220928438629</v>
      </c>
    </row>
    <row r="33" spans="1:8" x14ac:dyDescent="0.25">
      <c r="A33">
        <v>33</v>
      </c>
      <c r="C33">
        <f t="shared" ref="C33:C64" si="4">15.604+(A33-1)*0.2242898551</f>
        <v>22.781275363199999</v>
      </c>
      <c r="D33">
        <f t="shared" ref="D33:D64" si="5">0+1*C33-13.1632719596133*(1.05555555555556+(C33-21.5)^2/435.6)^0.5</f>
        <v>9.2331775895680206</v>
      </c>
      <c r="E33">
        <v>33</v>
      </c>
      <c r="G33">
        <f t="shared" ref="G33:G64" si="6">12.8+(E33-1)*0.2649275362</f>
        <v>21.2776811584</v>
      </c>
      <c r="H33">
        <f t="shared" ref="H33:H64" si="7">0+1*G33+13.1632719596133*(1.05555555555556+(G33-21.5)^2/435.6)^0.5</f>
        <v>34.802384343058598</v>
      </c>
    </row>
    <row r="34" spans="1:8" x14ac:dyDescent="0.25">
      <c r="A34">
        <v>34</v>
      </c>
      <c r="C34">
        <f t="shared" si="4"/>
        <v>23.005565218299999</v>
      </c>
      <c r="D34">
        <f t="shared" si="5"/>
        <v>9.4482945527023716</v>
      </c>
      <c r="E34">
        <v>34</v>
      </c>
      <c r="G34">
        <f t="shared" si="6"/>
        <v>21.542608694599998</v>
      </c>
      <c r="H34">
        <f t="shared" si="7"/>
        <v>35.066611726119504</v>
      </c>
    </row>
    <row r="35" spans="1:8" x14ac:dyDescent="0.25">
      <c r="A35">
        <v>35</v>
      </c>
      <c r="C35">
        <f t="shared" si="4"/>
        <v>23.2298550734</v>
      </c>
      <c r="D35">
        <f t="shared" si="5"/>
        <v>9.6619427939327451</v>
      </c>
      <c r="E35">
        <v>35</v>
      </c>
      <c r="G35">
        <f t="shared" si="6"/>
        <v>21.8075362308</v>
      </c>
      <c r="H35">
        <f t="shared" si="7"/>
        <v>35.332903398151068</v>
      </c>
    </row>
    <row r="36" spans="1:8" x14ac:dyDescent="0.25">
      <c r="A36">
        <v>36</v>
      </c>
      <c r="C36">
        <f t="shared" si="4"/>
        <v>23.4541449285</v>
      </c>
      <c r="D36">
        <f t="shared" si="5"/>
        <v>9.8741257660310229</v>
      </c>
      <c r="E36">
        <v>36</v>
      </c>
      <c r="G36">
        <f t="shared" si="6"/>
        <v>22.072463767000002</v>
      </c>
      <c r="H36">
        <f t="shared" si="7"/>
        <v>35.601258734713966</v>
      </c>
    </row>
    <row r="37" spans="1:8" x14ac:dyDescent="0.25">
      <c r="A37">
        <v>37</v>
      </c>
      <c r="C37">
        <f t="shared" si="4"/>
        <v>23.678434783599997</v>
      </c>
      <c r="D37">
        <f t="shared" si="5"/>
        <v>10.084847384043062</v>
      </c>
      <c r="E37">
        <v>37</v>
      </c>
      <c r="G37">
        <f t="shared" si="6"/>
        <v>22.3373913032</v>
      </c>
      <c r="H37">
        <f t="shared" si="7"/>
        <v>35.871676167828127</v>
      </c>
    </row>
    <row r="38" spans="1:8" x14ac:dyDescent="0.25">
      <c r="A38">
        <v>38</v>
      </c>
      <c r="C38">
        <f t="shared" si="4"/>
        <v>23.902724638700001</v>
      </c>
      <c r="D38">
        <f t="shared" si="5"/>
        <v>10.294112019023313</v>
      </c>
      <c r="E38">
        <v>38</v>
      </c>
      <c r="G38">
        <f t="shared" si="6"/>
        <v>22.602318839399999</v>
      </c>
      <c r="H38">
        <f t="shared" si="7"/>
        <v>36.144153189554942</v>
      </c>
    </row>
    <row r="39" spans="1:8" x14ac:dyDescent="0.25">
      <c r="A39">
        <v>39</v>
      </c>
      <c r="C39">
        <f t="shared" si="4"/>
        <v>24.127014493799997</v>
      </c>
      <c r="D39">
        <f t="shared" si="5"/>
        <v>10.501924491083823</v>
      </c>
      <c r="E39">
        <v>39</v>
      </c>
      <c r="G39">
        <f t="shared" si="6"/>
        <v>22.867246375600001</v>
      </c>
      <c r="H39">
        <f t="shared" si="7"/>
        <v>36.418686357714293</v>
      </c>
    </row>
    <row r="40" spans="1:8" x14ac:dyDescent="0.25">
      <c r="A40">
        <v>40</v>
      </c>
      <c r="C40">
        <f t="shared" si="4"/>
        <v>24.351304348900001</v>
      </c>
      <c r="D40">
        <f t="shared" si="5"/>
        <v>10.708290061783282</v>
      </c>
      <c r="E40">
        <v>40</v>
      </c>
      <c r="G40">
        <f t="shared" si="6"/>
        <v>23.132173911800002</v>
      </c>
      <c r="H40">
        <f t="shared" si="7"/>
        <v>36.6952713037061</v>
      </c>
    </row>
    <row r="41" spans="1:8" x14ac:dyDescent="0.25">
      <c r="A41">
        <v>41</v>
      </c>
      <c r="C41">
        <f t="shared" si="4"/>
        <v>24.575594203999998</v>
      </c>
      <c r="D41">
        <f t="shared" si="5"/>
        <v>10.913214425883462</v>
      </c>
      <c r="E41">
        <v>41</v>
      </c>
      <c r="G41">
        <f t="shared" si="6"/>
        <v>23.397101448000001</v>
      </c>
      <c r="H41">
        <f t="shared" si="7"/>
        <v>36.973902742395133</v>
      </c>
    </row>
    <row r="42" spans="1:8" x14ac:dyDescent="0.25">
      <c r="A42">
        <v>42</v>
      </c>
      <c r="C42">
        <f t="shared" si="4"/>
        <v>24.799884059099998</v>
      </c>
      <c r="D42">
        <f t="shared" si="5"/>
        <v>11.116703702502834</v>
      </c>
      <c r="E42">
        <v>42</v>
      </c>
      <c r="G42">
        <f t="shared" si="6"/>
        <v>23.662028984199999</v>
      </c>
      <c r="H42">
        <f t="shared" si="7"/>
        <v>37.254574484007009</v>
      </c>
    </row>
    <row r="43" spans="1:8" x14ac:dyDescent="0.25">
      <c r="A43">
        <v>43</v>
      </c>
      <c r="C43">
        <f t="shared" si="4"/>
        <v>25.024173914199999</v>
      </c>
      <c r="D43">
        <f t="shared" si="5"/>
        <v>11.318764425698481</v>
      </c>
      <c r="E43">
        <v>43</v>
      </c>
      <c r="G43">
        <f t="shared" si="6"/>
        <v>23.926956520399997</v>
      </c>
      <c r="H43">
        <f t="shared" si="7"/>
        <v>37.537279447973503</v>
      </c>
    </row>
    <row r="44" spans="1:8" x14ac:dyDescent="0.25">
      <c r="A44">
        <v>44</v>
      </c>
      <c r="C44">
        <f t="shared" si="4"/>
        <v>25.248463769299999</v>
      </c>
      <c r="D44">
        <f t="shared" si="5"/>
        <v>11.519403534509332</v>
      </c>
      <c r="E44">
        <v>44</v>
      </c>
      <c r="G44">
        <f t="shared" si="6"/>
        <v>24.191884056599999</v>
      </c>
      <c r="H44">
        <f t="shared" si="7"/>
        <v>37.822009678655625</v>
      </c>
    </row>
    <row r="45" spans="1:8" x14ac:dyDescent="0.25">
      <c r="A45">
        <v>45</v>
      </c>
      <c r="C45">
        <f t="shared" si="4"/>
        <v>25.472753624399999</v>
      </c>
      <c r="D45">
        <f t="shared" si="5"/>
        <v>11.71862836249492</v>
      </c>
      <c r="E45">
        <v>45</v>
      </c>
      <c r="G45">
        <f t="shared" si="6"/>
        <v>24.456811592800001</v>
      </c>
      <c r="H45">
        <f t="shared" si="7"/>
        <v>38.108756362863957</v>
      </c>
    </row>
    <row r="46" spans="1:8" x14ac:dyDescent="0.25">
      <c r="A46">
        <v>46</v>
      </c>
      <c r="C46">
        <f t="shared" si="4"/>
        <v>25.6970434795</v>
      </c>
      <c r="D46">
        <f t="shared" si="5"/>
        <v>11.916446626805172</v>
      </c>
      <c r="E46">
        <v>46</v>
      </c>
      <c r="G46">
        <f t="shared" si="6"/>
        <v>24.721739128999999</v>
      </c>
      <c r="H46">
        <f t="shared" si="7"/>
        <v>38.397509849087804</v>
      </c>
    </row>
    <row r="47" spans="1:8" x14ac:dyDescent="0.25">
      <c r="A47">
        <v>47</v>
      </c>
      <c r="C47">
        <f t="shared" si="4"/>
        <v>25.9213333346</v>
      </c>
      <c r="D47">
        <f t="shared" si="5"/>
        <v>12.112866416817566</v>
      </c>
      <c r="E47">
        <v>47</v>
      </c>
      <c r="G47">
        <f t="shared" si="6"/>
        <v>24.986666665199998</v>
      </c>
      <c r="H47">
        <f t="shared" si="7"/>
        <v>38.688259668337267</v>
      </c>
    </row>
    <row r="48" spans="1:8" x14ac:dyDescent="0.25">
      <c r="A48">
        <v>48</v>
      </c>
      <c r="C48">
        <f t="shared" si="4"/>
        <v>26.145623189699997</v>
      </c>
      <c r="D48">
        <f t="shared" si="5"/>
        <v>12.307896182378917</v>
      </c>
      <c r="E48">
        <v>48</v>
      </c>
      <c r="G48">
        <f t="shared" si="6"/>
        <v>25.2515942014</v>
      </c>
      <c r="H48">
        <f t="shared" si="7"/>
        <v>38.980994556495787</v>
      </c>
    </row>
    <row r="49" spans="1:8" x14ac:dyDescent="0.25">
      <c r="A49">
        <v>49</v>
      </c>
      <c r="C49">
        <f t="shared" si="4"/>
        <v>26.369913044800001</v>
      </c>
      <c r="D49">
        <f t="shared" si="5"/>
        <v>12.501544721689433</v>
      </c>
      <c r="E49">
        <v>49</v>
      </c>
      <c r="G49">
        <f t="shared" si="6"/>
        <v>25.516521737600002</v>
      </c>
      <c r="H49">
        <f t="shared" si="7"/>
        <v>39.275702478075203</v>
      </c>
    </row>
    <row r="50" spans="1:8" x14ac:dyDescent="0.25">
      <c r="A50">
        <v>50</v>
      </c>
      <c r="C50">
        <f t="shared" si="4"/>
        <v>26.594202899899997</v>
      </c>
      <c r="D50">
        <f t="shared" si="5"/>
        <v>12.693821168867141</v>
      </c>
      <c r="E50">
        <v>50</v>
      </c>
      <c r="G50">
        <f t="shared" si="6"/>
        <v>25.7814492738</v>
      </c>
      <c r="H50">
        <f t="shared" si="7"/>
        <v>39.572370651260528</v>
      </c>
    </row>
    <row r="51" spans="1:8" x14ac:dyDescent="0.25">
      <c r="A51">
        <v>51</v>
      </c>
      <c r="C51">
        <f t="shared" si="4"/>
        <v>26.818492755000001</v>
      </c>
      <c r="D51">
        <f t="shared" si="5"/>
        <v>12.884734981230945</v>
      </c>
      <c r="E51">
        <v>51</v>
      </c>
      <c r="G51">
        <f t="shared" si="6"/>
        <v>26.046376809999998</v>
      </c>
      <c r="H51">
        <f t="shared" si="7"/>
        <v>39.870985574128085</v>
      </c>
    </row>
    <row r="52" spans="1:8" x14ac:dyDescent="0.25">
      <c r="A52">
        <v>52</v>
      </c>
      <c r="C52">
        <f t="shared" si="4"/>
        <v>27.042782610099998</v>
      </c>
      <c r="D52">
        <f t="shared" si="5"/>
        <v>13.074295926340401</v>
      </c>
      <c r="E52">
        <v>52</v>
      </c>
      <c r="G52">
        <f t="shared" si="6"/>
        <v>26.3113043462</v>
      </c>
      <c r="H52">
        <f t="shared" si="7"/>
        <v>40.171533051917351</v>
      </c>
    </row>
    <row r="53" spans="1:8" x14ac:dyDescent="0.25">
      <c r="A53">
        <v>53</v>
      </c>
      <c r="C53">
        <f t="shared" si="4"/>
        <v>27.267072465199998</v>
      </c>
      <c r="D53">
        <f t="shared" si="5"/>
        <v>13.26251406883023</v>
      </c>
      <c r="E53">
        <v>53</v>
      </c>
      <c r="G53">
        <f t="shared" si="6"/>
        <v>26.576231882400002</v>
      </c>
      <c r="H53">
        <f t="shared" si="7"/>
        <v>40.473998225235476</v>
      </c>
    </row>
    <row r="54" spans="1:8" x14ac:dyDescent="0.25">
      <c r="A54">
        <v>54</v>
      </c>
      <c r="C54">
        <f t="shared" si="4"/>
        <v>27.491362320299999</v>
      </c>
      <c r="D54">
        <f t="shared" si="5"/>
        <v>13.449399757077055</v>
      </c>
      <c r="E54">
        <v>54</v>
      </c>
      <c r="G54">
        <f t="shared" si="6"/>
        <v>26.8411594186</v>
      </c>
      <c r="H54">
        <f t="shared" si="7"/>
        <v>40.778365599071918</v>
      </c>
    </row>
    <row r="55" spans="1:8" x14ac:dyDescent="0.25">
      <c r="A55">
        <v>55</v>
      </c>
      <c r="C55">
        <f t="shared" si="4"/>
        <v>27.715652175399999</v>
      </c>
      <c r="D55">
        <f t="shared" si="5"/>
        <v>13.6349636097353</v>
      </c>
      <c r="E55">
        <v>55</v>
      </c>
      <c r="G55">
        <f t="shared" si="6"/>
        <v>27.106086954799999</v>
      </c>
      <c r="H55">
        <f t="shared" si="7"/>
        <v>41.084619072500836</v>
      </c>
    </row>
    <row r="56" spans="1:8" x14ac:dyDescent="0.25">
      <c r="A56">
        <v>56</v>
      </c>
      <c r="C56">
        <f t="shared" si="4"/>
        <v>27.939942030499999</v>
      </c>
      <c r="D56">
        <f t="shared" si="5"/>
        <v>13.81921650217857</v>
      </c>
      <c r="E56">
        <v>56</v>
      </c>
      <c r="G56">
        <f t="shared" si="6"/>
        <v>27.371014491</v>
      </c>
      <c r="H56">
        <f t="shared" si="7"/>
        <v>41.392741968949281</v>
      </c>
    </row>
    <row r="57" spans="1:8" x14ac:dyDescent="0.25">
      <c r="A57">
        <v>57</v>
      </c>
      <c r="C57">
        <f t="shared" si="4"/>
        <v>28.1642318856</v>
      </c>
      <c r="D57">
        <f t="shared" si="5"/>
        <v>14.0021695528817</v>
      </c>
      <c r="E57">
        <v>57</v>
      </c>
      <c r="G57">
        <f t="shared" si="6"/>
        <v>27.635942027199999</v>
      </c>
      <c r="H57">
        <f t="shared" si="7"/>
        <v>41.702717066911028</v>
      </c>
    </row>
    <row r="58" spans="1:8" x14ac:dyDescent="0.25">
      <c r="A58">
        <v>58</v>
      </c>
      <c r="C58">
        <f t="shared" si="4"/>
        <v>28.3885217407</v>
      </c>
      <c r="D58">
        <f t="shared" si="5"/>
        <v>14.183834109777925</v>
      </c>
      <c r="E58">
        <v>58</v>
      </c>
      <c r="G58">
        <f t="shared" si="6"/>
        <v>27.900869563400001</v>
      </c>
      <c r="H58">
        <f t="shared" si="7"/>
        <v>42.01452663098781</v>
      </c>
    </row>
    <row r="59" spans="1:8" x14ac:dyDescent="0.25">
      <c r="A59">
        <v>59</v>
      </c>
      <c r="C59">
        <f t="shared" si="4"/>
        <v>28.612811595799997</v>
      </c>
      <c r="D59">
        <f t="shared" si="5"/>
        <v>14.364221736624291</v>
      </c>
      <c r="E59">
        <v>59</v>
      </c>
      <c r="G59">
        <f t="shared" si="6"/>
        <v>28.165797099599999</v>
      </c>
      <c r="H59">
        <f t="shared" si="7"/>
        <v>42.328152443142983</v>
      </c>
    </row>
    <row r="60" spans="1:8" x14ac:dyDescent="0.25">
      <c r="A60">
        <v>60</v>
      </c>
      <c r="C60">
        <f t="shared" si="4"/>
        <v>28.837101450900001</v>
      </c>
      <c r="D60">
        <f t="shared" si="5"/>
        <v>14.543344199407269</v>
      </c>
      <c r="E60">
        <v>60</v>
      </c>
      <c r="G60">
        <f t="shared" si="6"/>
        <v>28.430724635799997</v>
      </c>
      <c r="H60">
        <f t="shared" si="7"/>
        <v>42.643575834055909</v>
      </c>
    </row>
    <row r="61" spans="1:8" x14ac:dyDescent="0.25">
      <c r="A61">
        <v>61</v>
      </c>
      <c r="C61">
        <f t="shared" si="4"/>
        <v>29.061391305999997</v>
      </c>
      <c r="D61">
        <f t="shared" si="5"/>
        <v>14.72121345281912</v>
      </c>
      <c r="E61">
        <v>61</v>
      </c>
      <c r="G61">
        <f t="shared" si="6"/>
        <v>28.695652171999999</v>
      </c>
      <c r="H61">
        <f t="shared" si="7"/>
        <v>42.960777714469778</v>
      </c>
    </row>
    <row r="62" spans="1:8" x14ac:dyDescent="0.25">
      <c r="A62">
        <v>62</v>
      </c>
      <c r="C62">
        <f t="shared" si="4"/>
        <v>29.285681161100001</v>
      </c>
      <c r="D62">
        <f t="shared" si="5"/>
        <v>14.897841626834275</v>
      </c>
      <c r="E62">
        <v>62</v>
      </c>
      <c r="G62">
        <f t="shared" si="6"/>
        <v>28.960579708200001</v>
      </c>
      <c r="H62">
        <f t="shared" si="7"/>
        <v>43.279738606429945</v>
      </c>
    </row>
    <row r="63" spans="1:8" x14ac:dyDescent="0.25">
      <c r="A63">
        <v>63</v>
      </c>
      <c r="C63">
        <f t="shared" si="4"/>
        <v>29.509971016199998</v>
      </c>
      <c r="D63">
        <f t="shared" si="5"/>
        <v>15.073241013413277</v>
      </c>
      <c r="E63">
        <v>63</v>
      </c>
      <c r="G63">
        <f t="shared" si="6"/>
        <v>29.225507244399999</v>
      </c>
      <c r="H63">
        <f t="shared" si="7"/>
        <v>43.600438674315306</v>
      </c>
    </row>
    <row r="64" spans="1:8" x14ac:dyDescent="0.25">
      <c r="A64">
        <v>64</v>
      </c>
      <c r="C64">
        <f t="shared" si="4"/>
        <v>29.734260871299998</v>
      </c>
      <c r="D64">
        <f t="shared" si="5"/>
        <v>15.24742405336052</v>
      </c>
      <c r="E64">
        <v>64</v>
      </c>
      <c r="G64">
        <f t="shared" si="6"/>
        <v>29.490434780600001</v>
      </c>
      <c r="H64">
        <f t="shared" si="7"/>
        <v>43.922857755570313</v>
      </c>
    </row>
    <row r="65" spans="1:8" x14ac:dyDescent="0.25">
      <c r="A65">
        <v>65</v>
      </c>
      <c r="C65">
        <f t="shared" ref="C65:C70" si="8">15.604+(A65-1)*0.2242898551</f>
        <v>29.958550726399999</v>
      </c>
      <c r="D65">
        <f t="shared" ref="D65:D70" si="9">0+1*C65-13.1632719596133*(1.05555555555556+(C65-21.5)^2/435.6)^0.5</f>
        <v>15.420403323360178</v>
      </c>
      <c r="E65">
        <v>65</v>
      </c>
      <c r="G65">
        <f t="shared" ref="G65:G70" si="10">12.8+(E65-1)*0.2649275362</f>
        <v>29.755362316799999</v>
      </c>
      <c r="H65">
        <f t="shared" ref="H65:H70" si="11">0+1*G65+13.1632719596133*(1.05555555555556+(G65-21.5)^2/435.6)^0.5</f>
        <v>44.246975391051258</v>
      </c>
    </row>
    <row r="66" spans="1:8" x14ac:dyDescent="0.25">
      <c r="A66">
        <v>66</v>
      </c>
      <c r="C66">
        <f t="shared" si="8"/>
        <v>30.182840581499999</v>
      </c>
      <c r="D66">
        <f t="shared" si="9"/>
        <v>15.592191523213311</v>
      </c>
      <c r="E66">
        <v>66</v>
      </c>
      <c r="G66">
        <f t="shared" si="10"/>
        <v>30.020289852999998</v>
      </c>
      <c r="H66">
        <f t="shared" si="11"/>
        <v>44.572770854906302</v>
      </c>
    </row>
    <row r="67" spans="1:8" x14ac:dyDescent="0.25">
      <c r="A67">
        <v>67</v>
      </c>
      <c r="C67">
        <f t="shared" si="8"/>
        <v>30.407130436599999</v>
      </c>
      <c r="D67">
        <f t="shared" si="9"/>
        <v>15.762801463297295</v>
      </c>
      <c r="E67">
        <v>67</v>
      </c>
      <c r="G67">
        <f t="shared" si="10"/>
        <v>30.2852173892</v>
      </c>
      <c r="H67">
        <f t="shared" si="11"/>
        <v>44.900223183915003</v>
      </c>
    </row>
    <row r="68" spans="1:8" x14ac:dyDescent="0.25">
      <c r="A68">
        <v>68</v>
      </c>
      <c r="C68">
        <f t="shared" si="8"/>
        <v>30.631420291699996</v>
      </c>
      <c r="D68">
        <f t="shared" si="9"/>
        <v>15.932246052267161</v>
      </c>
      <c r="E68">
        <v>68</v>
      </c>
      <c r="G68">
        <f t="shared" si="10"/>
        <v>30.550144925399998</v>
      </c>
      <c r="H68">
        <f t="shared" si="11"/>
        <v>45.229311206219123</v>
      </c>
    </row>
    <row r="69" spans="1:8" x14ac:dyDescent="0.25">
      <c r="A69">
        <v>69</v>
      </c>
      <c r="C69">
        <f t="shared" si="8"/>
        <v>30.8557101468</v>
      </c>
      <c r="D69">
        <f t="shared" si="9"/>
        <v>16.100538285016725</v>
      </c>
      <c r="E69">
        <v>69</v>
      </c>
      <c r="G69">
        <f t="shared" si="10"/>
        <v>30.8150724616</v>
      </c>
      <c r="H69">
        <f t="shared" si="11"/>
        <v>45.560013569383244</v>
      </c>
    </row>
    <row r="70" spans="1:8" x14ac:dyDescent="0.25">
      <c r="A70">
        <v>70</v>
      </c>
      <c r="C70">
        <f t="shared" si="8"/>
        <v>31.080000001899997</v>
      </c>
      <c r="D70">
        <f t="shared" si="9"/>
        <v>16.267691230915716</v>
      </c>
      <c r="E70">
        <v>70</v>
      </c>
      <c r="G70">
        <f t="shared" si="10"/>
        <v>31.079999997799998</v>
      </c>
      <c r="H70">
        <f t="shared" si="11"/>
        <v>45.892308767729489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DB300-AAC7-409D-ABA8-76A993B9A816}">
  <sheetPr codeName="XLSTAT_20230621_072101_1_HID">
    <tabColor rgb="FF007800"/>
  </sheetPr>
  <dimension ref="A1:H70"/>
  <sheetViews>
    <sheetView workbookViewId="0">
      <selection activeCell="E1" sqref="E1"/>
    </sheetView>
  </sheetViews>
  <sheetFormatPr baseColWidth="10" defaultRowHeight="15" x14ac:dyDescent="0.25"/>
  <sheetData>
    <row r="1" spans="1:8" x14ac:dyDescent="0.25">
      <c r="A1">
        <v>1</v>
      </c>
      <c r="C1">
        <f t="shared" ref="C1:C32" si="0">10.88+(A1-1)*0.5379710145</f>
        <v>10.88</v>
      </c>
      <c r="D1">
        <f t="shared" ref="D1:D32" si="1">0+1*C1-5.58747664865838*(1.05555555555556+(C1-21.5)^2/1021.21428571429)^0.5</f>
        <v>4.8465677391535706</v>
      </c>
      <c r="E1">
        <v>1</v>
      </c>
      <c r="G1">
        <f t="shared" ref="G1:G32" si="2">9.6+(E1-1)*0.5565217391</f>
        <v>9.6</v>
      </c>
      <c r="H1">
        <f t="shared" ref="H1:H32" si="3">0+1*G1+5.58747664865838*(1.05555555555556+(G1-21.5)^2/1021.21428571429)^0.5</f>
        <v>15.706025076786327</v>
      </c>
    </row>
    <row r="2" spans="1:8" x14ac:dyDescent="0.25">
      <c r="A2">
        <v>2</v>
      </c>
      <c r="C2">
        <f t="shared" si="0"/>
        <v>11.417971014500001</v>
      </c>
      <c r="D2">
        <f t="shared" si="1"/>
        <v>5.4128208109561884</v>
      </c>
      <c r="E2">
        <v>2</v>
      </c>
      <c r="G2">
        <f t="shared" si="2"/>
        <v>10.1565217391</v>
      </c>
      <c r="H2">
        <f t="shared" si="3"/>
        <v>16.230078074798115</v>
      </c>
    </row>
    <row r="3" spans="1:8" x14ac:dyDescent="0.25">
      <c r="A3">
        <v>3</v>
      </c>
      <c r="C3">
        <f t="shared" si="0"/>
        <v>11.955942029000001</v>
      </c>
      <c r="D3">
        <f t="shared" si="1"/>
        <v>5.9777275324725103</v>
      </c>
      <c r="E3">
        <v>3</v>
      </c>
      <c r="G3">
        <f t="shared" si="2"/>
        <v>10.713043478199999</v>
      </c>
      <c r="H3">
        <f t="shared" si="3"/>
        <v>16.755523745833745</v>
      </c>
    </row>
    <row r="4" spans="1:8" x14ac:dyDescent="0.25">
      <c r="A4">
        <v>4</v>
      </c>
      <c r="C4">
        <f t="shared" si="0"/>
        <v>12.493913043500001</v>
      </c>
      <c r="D4">
        <f t="shared" si="1"/>
        <v>6.5412696269723538</v>
      </c>
      <c r="E4">
        <v>4</v>
      </c>
      <c r="G4">
        <f t="shared" si="2"/>
        <v>11.2695652173</v>
      </c>
      <c r="H4">
        <f t="shared" si="3"/>
        <v>17.282383683200734</v>
      </c>
    </row>
    <row r="5" spans="1:8" x14ac:dyDescent="0.25">
      <c r="A5">
        <v>5</v>
      </c>
      <c r="C5">
        <f t="shared" si="0"/>
        <v>13.031884058000001</v>
      </c>
      <c r="D5">
        <f t="shared" si="1"/>
        <v>7.1034294363774508</v>
      </c>
      <c r="E5">
        <v>5</v>
      </c>
      <c r="G5">
        <f t="shared" si="2"/>
        <v>11.826086956399999</v>
      </c>
      <c r="H5">
        <f t="shared" si="3"/>
        <v>17.81067891578201</v>
      </c>
    </row>
    <row r="6" spans="1:8" x14ac:dyDescent="0.25">
      <c r="A6">
        <v>6</v>
      </c>
      <c r="C6">
        <f t="shared" si="0"/>
        <v>13.569855072500001</v>
      </c>
      <c r="D6">
        <f t="shared" si="1"/>
        <v>7.6641899757124294</v>
      </c>
      <c r="E6">
        <v>6</v>
      </c>
      <c r="G6">
        <f t="shared" si="2"/>
        <v>12.3826086955</v>
      </c>
      <c r="H6">
        <f t="shared" si="3"/>
        <v>18.340429843706104</v>
      </c>
    </row>
    <row r="7" spans="1:8" x14ac:dyDescent="0.25">
      <c r="A7">
        <v>7</v>
      </c>
      <c r="C7">
        <f t="shared" si="0"/>
        <v>14.107826086999999</v>
      </c>
      <c r="D7">
        <f t="shared" si="1"/>
        <v>8.2235349870745829</v>
      </c>
      <c r="E7">
        <v>7</v>
      </c>
      <c r="G7">
        <f t="shared" si="2"/>
        <v>12.939130434599999</v>
      </c>
      <c r="H7">
        <f t="shared" si="3"/>
        <v>18.871656173694038</v>
      </c>
    </row>
    <row r="8" spans="1:8" x14ac:dyDescent="0.25">
      <c r="A8">
        <v>8</v>
      </c>
      <c r="C8">
        <f t="shared" si="0"/>
        <v>14.645797101500001</v>
      </c>
      <c r="D8">
        <f t="shared" si="1"/>
        <v>8.7814489927689579</v>
      </c>
      <c r="E8">
        <v>8</v>
      </c>
      <c r="G8">
        <f t="shared" si="2"/>
        <v>13.4956521737</v>
      </c>
      <c r="H8">
        <f t="shared" si="3"/>
        <v>19.404376854483822</v>
      </c>
    </row>
    <row r="9" spans="1:8" x14ac:dyDescent="0.25">
      <c r="A9">
        <v>9</v>
      </c>
      <c r="C9">
        <f t="shared" si="0"/>
        <v>15.183768116</v>
      </c>
      <c r="D9">
        <f t="shared" si="1"/>
        <v>9.3379173472442183</v>
      </c>
      <c r="E9">
        <v>9</v>
      </c>
      <c r="G9">
        <f t="shared" si="2"/>
        <v>14.052173912800001</v>
      </c>
      <c r="H9">
        <f t="shared" si="3"/>
        <v>19.938610012757568</v>
      </c>
    </row>
    <row r="10" spans="1:8" x14ac:dyDescent="0.25">
      <c r="A10">
        <v>10</v>
      </c>
      <c r="C10">
        <f t="shared" si="0"/>
        <v>15.721739130500001</v>
      </c>
      <c r="D10">
        <f t="shared" si="1"/>
        <v>9.8929262874575095</v>
      </c>
      <c r="E10">
        <v>10</v>
      </c>
      <c r="G10">
        <f t="shared" si="2"/>
        <v>14.6086956519</v>
      </c>
      <c r="H10">
        <f t="shared" si="3"/>
        <v>20.474372890016049</v>
      </c>
    </row>
    <row r="11" spans="1:8" x14ac:dyDescent="0.25">
      <c r="A11">
        <v>11</v>
      </c>
      <c r="C11">
        <f t="shared" si="0"/>
        <v>16.259710145</v>
      </c>
      <c r="D11">
        <f t="shared" si="1"/>
        <v>10.446462981293557</v>
      </c>
      <c r="E11">
        <v>11</v>
      </c>
      <c r="G11">
        <f t="shared" si="2"/>
        <v>15.165217390999999</v>
      </c>
      <c r="H11">
        <f t="shared" si="3"/>
        <v>21.011681780860844</v>
      </c>
    </row>
    <row r="12" spans="1:8" x14ac:dyDescent="0.25">
      <c r="A12">
        <v>12</v>
      </c>
      <c r="C12">
        <f t="shared" si="0"/>
        <v>16.797681159500002</v>
      </c>
      <c r="D12">
        <f t="shared" si="1"/>
        <v>10.998515573664895</v>
      </c>
      <c r="E12">
        <v>12</v>
      </c>
      <c r="G12">
        <f t="shared" si="2"/>
        <v>15.7217391301</v>
      </c>
      <c r="H12">
        <f t="shared" si="3"/>
        <v>21.550551973154615</v>
      </c>
    </row>
    <row r="13" spans="1:8" x14ac:dyDescent="0.25">
      <c r="A13">
        <v>13</v>
      </c>
      <c r="C13">
        <f t="shared" si="0"/>
        <v>17.335652174</v>
      </c>
      <c r="D13">
        <f t="shared" si="1"/>
        <v>11.549073229926323</v>
      </c>
      <c r="E13">
        <v>13</v>
      </c>
      <c r="G13">
        <f t="shared" si="2"/>
        <v>16.2782608692</v>
      </c>
      <c r="H13">
        <f t="shared" si="3"/>
        <v>22.090997690534262</v>
      </c>
    </row>
    <row r="14" spans="1:8" x14ac:dyDescent="0.25">
      <c r="A14">
        <v>14</v>
      </c>
      <c r="C14">
        <f t="shared" si="0"/>
        <v>17.873623188499998</v>
      </c>
      <c r="D14">
        <f t="shared" si="1"/>
        <v>12.098126176248261</v>
      </c>
      <c r="E14">
        <v>14</v>
      </c>
      <c r="G14">
        <f t="shared" si="2"/>
        <v>16.834782608299999</v>
      </c>
      <c r="H14">
        <f t="shared" si="3"/>
        <v>22.633032037750326</v>
      </c>
    </row>
    <row r="15" spans="1:8" x14ac:dyDescent="0.25">
      <c r="A15">
        <v>15</v>
      </c>
      <c r="C15">
        <f t="shared" si="0"/>
        <v>18.411594203</v>
      </c>
      <c r="D15">
        <f t="shared" si="1"/>
        <v>12.645665736609701</v>
      </c>
      <c r="E15">
        <v>15</v>
      </c>
      <c r="G15">
        <f t="shared" si="2"/>
        <v>17.391304347400002</v>
      </c>
      <c r="H15">
        <f t="shared" si="3"/>
        <v>23.176666949297676</v>
      </c>
    </row>
    <row r="16" spans="1:8" x14ac:dyDescent="0.25">
      <c r="A16">
        <v>16</v>
      </c>
      <c r="C16">
        <f t="shared" si="0"/>
        <v>18.949565217500002</v>
      </c>
      <c r="D16">
        <f t="shared" si="1"/>
        <v>13.191684366092897</v>
      </c>
      <c r="E16">
        <v>16</v>
      </c>
      <c r="G16">
        <f t="shared" si="2"/>
        <v>17.947826086500001</v>
      </c>
      <c r="H16">
        <f t="shared" si="3"/>
        <v>23.721913141787667</v>
      </c>
    </row>
    <row r="17" spans="1:8" x14ac:dyDescent="0.25">
      <c r="A17">
        <v>17</v>
      </c>
      <c r="C17">
        <f t="shared" si="0"/>
        <v>19.487536232</v>
      </c>
      <c r="D17">
        <f t="shared" si="1"/>
        <v>13.736175680187884</v>
      </c>
      <c r="E17">
        <v>17</v>
      </c>
      <c r="G17">
        <f t="shared" si="2"/>
        <v>18.5043478256</v>
      </c>
      <c r="H17">
        <f t="shared" si="3"/>
        <v>24.268780070490575</v>
      </c>
    </row>
    <row r="18" spans="1:8" x14ac:dyDescent="0.25">
      <c r="A18">
        <v>18</v>
      </c>
      <c r="C18">
        <f t="shared" si="0"/>
        <v>20.025507246499998</v>
      </c>
      <c r="D18">
        <f t="shared" si="1"/>
        <v>14.279134479845382</v>
      </c>
      <c r="E18">
        <v>18</v>
      </c>
      <c r="G18">
        <f t="shared" si="2"/>
        <v>19.060869564699999</v>
      </c>
      <c r="H18">
        <f t="shared" si="3"/>
        <v>24.817275890448467</v>
      </c>
    </row>
    <row r="19" spans="1:8" x14ac:dyDescent="0.25">
      <c r="A19">
        <v>19</v>
      </c>
      <c r="C19">
        <f t="shared" si="0"/>
        <v>20.563478261</v>
      </c>
      <c r="D19">
        <f t="shared" si="1"/>
        <v>14.820556772051324</v>
      </c>
      <c r="E19">
        <v>19</v>
      </c>
      <c r="G19">
        <f t="shared" si="2"/>
        <v>19.617391303799998</v>
      </c>
      <c r="H19">
        <f t="shared" si="3"/>
        <v>25.36740742252428</v>
      </c>
    </row>
    <row r="20" spans="1:8" x14ac:dyDescent="0.25">
      <c r="A20">
        <v>20</v>
      </c>
      <c r="C20">
        <f t="shared" si="0"/>
        <v>21.101449275500002</v>
      </c>
      <c r="D20">
        <f t="shared" si="1"/>
        <v>15.360439785734595</v>
      </c>
      <c r="E20">
        <v>20</v>
      </c>
      <c r="G20">
        <f t="shared" si="2"/>
        <v>20.173913042900001</v>
      </c>
      <c r="H20">
        <f t="shared" si="3"/>
        <v>25.919180124711801</v>
      </c>
    </row>
    <row r="21" spans="1:8" x14ac:dyDescent="0.25">
      <c r="A21">
        <v>21</v>
      </c>
      <c r="C21">
        <f t="shared" si="0"/>
        <v>21.63942029</v>
      </c>
      <c r="D21">
        <f t="shared" si="1"/>
        <v>15.898781982860822</v>
      </c>
      <c r="E21">
        <v>21</v>
      </c>
      <c r="G21">
        <f t="shared" si="2"/>
        <v>20.730434782</v>
      </c>
      <c r="H21">
        <f t="shared" si="3"/>
        <v>26.47259806898521</v>
      </c>
    </row>
    <row r="22" spans="1:8" x14ac:dyDescent="0.25">
      <c r="A22">
        <v>22</v>
      </c>
      <c r="C22">
        <f t="shared" si="0"/>
        <v>22.177391304499999</v>
      </c>
      <c r="D22">
        <f t="shared" si="1"/>
        <v>16.435583064608977</v>
      </c>
      <c r="E22">
        <v>22</v>
      </c>
      <c r="G22">
        <f t="shared" si="2"/>
        <v>21.286956521100002</v>
      </c>
      <c r="H22">
        <f t="shared" si="3"/>
        <v>27.027663923915487</v>
      </c>
    </row>
    <row r="23" spans="1:8" x14ac:dyDescent="0.25">
      <c r="A23">
        <v>23</v>
      </c>
      <c r="C23">
        <f t="shared" si="0"/>
        <v>22.715362319</v>
      </c>
      <c r="D23">
        <f t="shared" si="1"/>
        <v>16.970843972573</v>
      </c>
      <c r="E23">
        <v>23</v>
      </c>
      <c r="G23">
        <f t="shared" si="2"/>
        <v>21.843478260200001</v>
      </c>
      <c r="H23">
        <f t="shared" si="3"/>
        <v>27.584378943226092</v>
      </c>
    </row>
    <row r="24" spans="1:8" x14ac:dyDescent="0.25">
      <c r="A24">
        <v>24</v>
      </c>
      <c r="C24">
        <f t="shared" si="0"/>
        <v>23.253333333500002</v>
      </c>
      <c r="D24">
        <f t="shared" si="1"/>
        <v>17.504566884977173</v>
      </c>
      <c r="E24">
        <v>24</v>
      </c>
      <c r="G24">
        <f t="shared" si="2"/>
        <v>22.3999999993</v>
      </c>
      <c r="H24">
        <f t="shared" si="3"/>
        <v>28.142742960402089</v>
      </c>
    </row>
    <row r="25" spans="1:8" x14ac:dyDescent="0.25">
      <c r="A25">
        <v>25</v>
      </c>
      <c r="C25">
        <f t="shared" si="0"/>
        <v>23.791304347999997</v>
      </c>
      <c r="D25">
        <f t="shared" si="1"/>
        <v>18.036755207940764</v>
      </c>
      <c r="E25">
        <v>25</v>
      </c>
      <c r="G25">
        <f t="shared" si="2"/>
        <v>22.956521738399999</v>
      </c>
      <c r="H25">
        <f t="shared" si="3"/>
        <v>28.702754389406657</v>
      </c>
    </row>
    <row r="26" spans="1:8" x14ac:dyDescent="0.25">
      <c r="A26">
        <v>26</v>
      </c>
      <c r="C26">
        <f t="shared" si="0"/>
        <v>24.329275362499999</v>
      </c>
      <c r="D26">
        <f t="shared" si="1"/>
        <v>18.567413561873359</v>
      </c>
      <c r="E26">
        <v>26</v>
      </c>
      <c r="G26">
        <f t="shared" si="2"/>
        <v>23.513043477499998</v>
      </c>
      <c r="H26">
        <f t="shared" si="3"/>
        <v>29.264410231497834</v>
      </c>
    </row>
    <row r="27" spans="1:8" x14ac:dyDescent="0.25">
      <c r="A27">
        <v>27</v>
      </c>
      <c r="C27">
        <f t="shared" si="0"/>
        <v>24.867246377000001</v>
      </c>
      <c r="D27">
        <f t="shared" si="1"/>
        <v>19.096547763127166</v>
      </c>
      <c r="E27">
        <v>27</v>
      </c>
      <c r="G27">
        <f t="shared" si="2"/>
        <v>24.069565216600001</v>
      </c>
      <c r="H27">
        <f t="shared" si="3"/>
        <v>29.827706088077306</v>
      </c>
    </row>
    <row r="28" spans="1:8" x14ac:dyDescent="0.25">
      <c r="A28">
        <v>28</v>
      </c>
      <c r="C28">
        <f t="shared" si="0"/>
        <v>25.405217391499999</v>
      </c>
      <c r="D28">
        <f t="shared" si="1"/>
        <v>19.624164801075263</v>
      </c>
      <c r="E28">
        <v>28</v>
      </c>
      <c r="G28">
        <f t="shared" si="2"/>
        <v>24.6260869557</v>
      </c>
      <c r="H28">
        <f t="shared" si="3"/>
        <v>30.39263617944313</v>
      </c>
    </row>
    <row r="29" spans="1:8" x14ac:dyDescent="0.25">
      <c r="A29">
        <v>29</v>
      </c>
      <c r="C29">
        <f t="shared" si="0"/>
        <v>25.943188405999997</v>
      </c>
      <c r="D29">
        <f t="shared" si="1"/>
        <v>20.150272810824404</v>
      </c>
      <c r="E29">
        <v>29</v>
      </c>
      <c r="G29">
        <f t="shared" si="2"/>
        <v>25.182608694800003</v>
      </c>
      <c r="H29">
        <f t="shared" si="3"/>
        <v>30.95919336926092</v>
      </c>
    </row>
    <row r="30" spans="1:8" x14ac:dyDescent="0.25">
      <c r="A30">
        <v>30</v>
      </c>
      <c r="C30">
        <f t="shared" si="0"/>
        <v>26.481159420499999</v>
      </c>
      <c r="D30">
        <f t="shared" si="1"/>
        <v>20.674881041807673</v>
      </c>
      <c r="E30">
        <v>30</v>
      </c>
      <c r="G30">
        <f t="shared" si="2"/>
        <v>25.739130433900002</v>
      </c>
      <c r="H30">
        <f t="shared" si="3"/>
        <v>31.527369194513653</v>
      </c>
    </row>
    <row r="31" spans="1:8" x14ac:dyDescent="0.25">
      <c r="A31">
        <v>31</v>
      </c>
      <c r="C31">
        <f t="shared" si="0"/>
        <v>27.019130435000001</v>
      </c>
      <c r="D31">
        <f t="shared" si="1"/>
        <v>21.19799982253469</v>
      </c>
      <c r="E31">
        <v>31</v>
      </c>
      <c r="G31">
        <f t="shared" si="2"/>
        <v>26.295652173000001</v>
      </c>
      <c r="H31">
        <f t="shared" si="3"/>
        <v>32.097153900640265</v>
      </c>
    </row>
    <row r="32" spans="1:8" x14ac:dyDescent="0.25">
      <c r="A32">
        <v>32</v>
      </c>
      <c r="C32">
        <f t="shared" si="0"/>
        <v>27.557101449500003</v>
      </c>
      <c r="D32">
        <f t="shared" si="1"/>
        <v>21.719640521805427</v>
      </c>
      <c r="E32">
        <v>32</v>
      </c>
      <c r="G32">
        <f t="shared" si="2"/>
        <v>26.8521739121</v>
      </c>
      <c r="H32">
        <f t="shared" si="3"/>
        <v>32.668536481528157</v>
      </c>
    </row>
    <row r="33" spans="1:8" x14ac:dyDescent="0.25">
      <c r="A33">
        <v>33</v>
      </c>
      <c r="C33">
        <f t="shared" ref="C33:C64" si="4">10.88+(A33-1)*0.5379710145</f>
        <v>28.095072463999998</v>
      </c>
      <c r="D33">
        <f t="shared" ref="D33:D64" si="5">0+1*C33-5.58747664865838*(1.05555555555556+(C33-21.5)^2/1021.21428571429)^0.5</f>
        <v>22.239815506717061</v>
      </c>
      <c r="E33">
        <v>33</v>
      </c>
      <c r="G33">
        <f t="shared" ref="G33:G64" si="6">9.6+(E33-1)*0.5565217391</f>
        <v>27.408695651199999</v>
      </c>
      <c r="H33">
        <f t="shared" ref="H33:H64" si="7">0+1*G33+5.58747664865838*(1.05555555555556+(G33-21.5)^2/1021.21428571429)^0.5</f>
        <v>33.241504723985265</v>
      </c>
    </row>
    <row r="34" spans="1:8" x14ac:dyDescent="0.25">
      <c r="A34">
        <v>34</v>
      </c>
      <c r="C34">
        <f t="shared" si="4"/>
        <v>28.633043478499999</v>
      </c>
      <c r="D34">
        <f t="shared" si="5"/>
        <v>22.758538097812277</v>
      </c>
      <c r="E34">
        <v>34</v>
      </c>
      <c r="G34">
        <f t="shared" si="6"/>
        <v>27.965217390299998</v>
      </c>
      <c r="H34">
        <f t="shared" si="7"/>
        <v>33.816045256284134</v>
      </c>
    </row>
    <row r="35" spans="1:8" x14ac:dyDescent="0.25">
      <c r="A35">
        <v>35</v>
      </c>
      <c r="C35">
        <f t="shared" si="4"/>
        <v>29.171014493000001</v>
      </c>
      <c r="D35">
        <f t="shared" si="5"/>
        <v>23.275822521730777</v>
      </c>
      <c r="E35">
        <v>35</v>
      </c>
      <c r="G35">
        <f t="shared" si="6"/>
        <v>28.521739129400004</v>
      </c>
      <c r="H35">
        <f t="shared" si="7"/>
        <v>34.392143600343729</v>
      </c>
    </row>
    <row r="36" spans="1:8" x14ac:dyDescent="0.25">
      <c r="A36">
        <v>36</v>
      </c>
      <c r="C36">
        <f t="shared" si="4"/>
        <v>29.708985507499996</v>
      </c>
      <c r="D36">
        <f t="shared" si="5"/>
        <v>23.791683861734882</v>
      </c>
      <c r="E36">
        <v>36</v>
      </c>
      <c r="G36">
        <f t="shared" si="6"/>
        <v>29.078260868500003</v>
      </c>
      <c r="H36">
        <f t="shared" si="7"/>
        <v>34.969784227094536</v>
      </c>
    </row>
    <row r="37" spans="1:8" x14ac:dyDescent="0.25">
      <c r="A37">
        <v>37</v>
      </c>
      <c r="C37">
        <f t="shared" si="4"/>
        <v>30.246956521999998</v>
      </c>
      <c r="D37">
        <f t="shared" si="5"/>
        <v>24.306138006483692</v>
      </c>
      <c r="E37">
        <v>37</v>
      </c>
      <c r="G37">
        <f t="shared" si="6"/>
        <v>29.634782607600002</v>
      </c>
      <c r="H37">
        <f t="shared" si="7"/>
        <v>35.54895061455948</v>
      </c>
    </row>
    <row r="38" spans="1:8" x14ac:dyDescent="0.25">
      <c r="A38">
        <v>38</v>
      </c>
      <c r="C38">
        <f t="shared" si="4"/>
        <v>30.7849275365</v>
      </c>
      <c r="D38">
        <f t="shared" si="5"/>
        <v>24.819201597429593</v>
      </c>
      <c r="E38">
        <v>38</v>
      </c>
      <c r="G38">
        <f t="shared" si="6"/>
        <v>30.191304346700001</v>
      </c>
      <c r="H38">
        <f t="shared" si="7"/>
        <v>36.129625308176429</v>
      </c>
    </row>
    <row r="39" spans="1:8" x14ac:dyDescent="0.25">
      <c r="A39">
        <v>39</v>
      </c>
      <c r="C39">
        <f t="shared" si="4"/>
        <v>31.322898551000002</v>
      </c>
      <c r="D39">
        <f t="shared" si="5"/>
        <v>25.330891975205631</v>
      </c>
      <c r="E39">
        <v>39</v>
      </c>
      <c r="G39">
        <f t="shared" si="6"/>
        <v>30.7478260858</v>
      </c>
      <c r="H39">
        <f t="shared" si="7"/>
        <v>36.711789982887808</v>
      </c>
    </row>
    <row r="40" spans="1:8" x14ac:dyDescent="0.25">
      <c r="A40">
        <v>40</v>
      </c>
      <c r="C40">
        <f t="shared" si="4"/>
        <v>31.860869565499996</v>
      </c>
      <c r="D40">
        <f t="shared" si="5"/>
        <v>25.841227125363062</v>
      </c>
      <c r="E40">
        <v>40</v>
      </c>
      <c r="G40">
        <f t="shared" si="6"/>
        <v>31.304347824899999</v>
      </c>
      <c r="H40">
        <f t="shared" si="7"/>
        <v>37.29542550652895</v>
      </c>
    </row>
    <row r="41" spans="1:8" x14ac:dyDescent="0.25">
      <c r="A41">
        <v>41</v>
      </c>
      <c r="C41">
        <f t="shared" si="4"/>
        <v>32.398840579999998</v>
      </c>
      <c r="D41">
        <f t="shared" si="5"/>
        <v>26.350225623805322</v>
      </c>
      <c r="E41">
        <v>41</v>
      </c>
      <c r="G41">
        <f t="shared" si="6"/>
        <v>31.860869563999998</v>
      </c>
      <c r="H41">
        <f t="shared" si="7"/>
        <v>37.880512004058005</v>
      </c>
    </row>
    <row r="42" spans="1:8" x14ac:dyDescent="0.25">
      <c r="A42">
        <v>42</v>
      </c>
      <c r="C42">
        <f t="shared" si="4"/>
        <v>32.9368115945</v>
      </c>
      <c r="D42">
        <f t="shared" si="5"/>
        <v>26.857906582248582</v>
      </c>
      <c r="E42">
        <v>42</v>
      </c>
      <c r="G42">
        <f t="shared" si="6"/>
        <v>32.417391303100004</v>
      </c>
      <c r="H42">
        <f t="shared" si="7"/>
        <v>38.467028922186927</v>
      </c>
    </row>
    <row r="43" spans="1:8" x14ac:dyDescent="0.25">
      <c r="A43">
        <v>43</v>
      </c>
      <c r="C43">
        <f t="shared" si="4"/>
        <v>33.474782609000002</v>
      </c>
      <c r="D43">
        <f t="shared" si="5"/>
        <v>27.364289594020093</v>
      </c>
      <c r="E43">
        <v>43</v>
      </c>
      <c r="G43">
        <f t="shared" si="6"/>
        <v>32.973913042200003</v>
      </c>
      <c r="H43">
        <f t="shared" si="7"/>
        <v>39.054955093993854</v>
      </c>
    </row>
    <row r="44" spans="1:8" x14ac:dyDescent="0.25">
      <c r="A44">
        <v>44</v>
      </c>
      <c r="C44">
        <f t="shared" si="4"/>
        <v>34.012753623499997</v>
      </c>
      <c r="D44">
        <f t="shared" si="5"/>
        <v>27.869394680484341</v>
      </c>
      <c r="E44">
        <v>44</v>
      </c>
      <c r="G44">
        <f t="shared" si="6"/>
        <v>33.530434781300002</v>
      </c>
      <c r="H44">
        <f t="shared" si="7"/>
        <v>39.644268803121967</v>
      </c>
    </row>
    <row r="45" spans="1:8" x14ac:dyDescent="0.25">
      <c r="A45">
        <v>45</v>
      </c>
      <c r="C45">
        <f t="shared" si="4"/>
        <v>34.550724637999998</v>
      </c>
      <c r="D45">
        <f t="shared" si="5"/>
        <v>28.373242238364043</v>
      </c>
      <c r="E45">
        <v>45</v>
      </c>
      <c r="G45">
        <f t="shared" si="6"/>
        <v>34.086956520400001</v>
      </c>
      <c r="H45">
        <f t="shared" si="7"/>
        <v>40.234947847197688</v>
      </c>
    </row>
    <row r="46" spans="1:8" x14ac:dyDescent="0.25">
      <c r="A46">
        <v>46</v>
      </c>
      <c r="C46">
        <f t="shared" si="4"/>
        <v>35.0886956525</v>
      </c>
      <c r="D46">
        <f t="shared" si="5"/>
        <v>28.87585298819867</v>
      </c>
      <c r="E46">
        <v>46</v>
      </c>
      <c r="G46">
        <f t="shared" si="6"/>
        <v>34.6434782595</v>
      </c>
      <c r="H46">
        <f t="shared" si="7"/>
        <v>40.826969600131171</v>
      </c>
    </row>
    <row r="47" spans="1:8" x14ac:dyDescent="0.25">
      <c r="A47">
        <v>47</v>
      </c>
      <c r="C47">
        <f t="shared" si="4"/>
        <v>35.626666667000002</v>
      </c>
      <c r="D47">
        <f t="shared" si="5"/>
        <v>29.377247924158148</v>
      </c>
      <c r="E47">
        <v>47</v>
      </c>
      <c r="G47">
        <f t="shared" si="6"/>
        <v>35.199999998599999</v>
      </c>
      <c r="H47">
        <f t="shared" si="7"/>
        <v>41.420311072994188</v>
      </c>
    </row>
    <row r="48" spans="1:8" x14ac:dyDescent="0.25">
      <c r="A48">
        <v>48</v>
      </c>
      <c r="C48">
        <f t="shared" si="4"/>
        <v>36.164637681499997</v>
      </c>
      <c r="D48">
        <f t="shared" si="5"/>
        <v>29.877448265403753</v>
      </c>
      <c r="E48">
        <v>48</v>
      </c>
      <c r="G48">
        <f t="shared" si="6"/>
        <v>35.756521737699998</v>
      </c>
      <c r="H48">
        <f t="shared" si="7"/>
        <v>42.014948973203381</v>
      </c>
    </row>
    <row r="49" spans="1:8" x14ac:dyDescent="0.25">
      <c r="A49">
        <v>49</v>
      </c>
      <c r="C49">
        <f t="shared" si="4"/>
        <v>36.702608695999999</v>
      </c>
      <c r="D49">
        <f t="shared" si="5"/>
        <v>30.376475409162651</v>
      </c>
      <c r="E49">
        <v>49</v>
      </c>
      <c r="G49">
        <f t="shared" si="6"/>
        <v>36.313043476800004</v>
      </c>
      <c r="H49">
        <f t="shared" si="7"/>
        <v>42.610859761770477</v>
      </c>
    </row>
    <row r="50" spans="1:8" x14ac:dyDescent="0.25">
      <c r="A50">
        <v>50</v>
      </c>
      <c r="C50">
        <f t="shared" si="4"/>
        <v>37.2405797105</v>
      </c>
      <c r="D50">
        <f t="shared" si="5"/>
        <v>30.874350885657169</v>
      </c>
      <c r="E50">
        <v>50</v>
      </c>
      <c r="G50">
        <f t="shared" si="6"/>
        <v>36.869565215900003</v>
      </c>
      <c r="H50">
        <f t="shared" si="7"/>
        <v>43.208019708414504</v>
      </c>
    </row>
    <row r="51" spans="1:8" x14ac:dyDescent="0.25">
      <c r="A51">
        <v>51</v>
      </c>
      <c r="C51">
        <f t="shared" si="4"/>
        <v>37.778550724999995</v>
      </c>
      <c r="D51">
        <f t="shared" si="5"/>
        <v>31.371096315005545</v>
      </c>
      <c r="E51">
        <v>51</v>
      </c>
      <c r="G51">
        <f t="shared" si="6"/>
        <v>37.426086955000002</v>
      </c>
      <c r="H51">
        <f t="shared" si="7"/>
        <v>43.806404944364203</v>
      </c>
    </row>
    <row r="52" spans="1:8" x14ac:dyDescent="0.25">
      <c r="A52">
        <v>52</v>
      </c>
      <c r="C52">
        <f t="shared" si="4"/>
        <v>38.316521739499997</v>
      </c>
      <c r="D52">
        <f t="shared" si="5"/>
        <v>31.866733366186942</v>
      </c>
      <c r="E52">
        <v>52</v>
      </c>
      <c r="G52">
        <f t="shared" si="6"/>
        <v>37.982608694100001</v>
      </c>
      <c r="H52">
        <f t="shared" si="7"/>
        <v>44.405991512710521</v>
      </c>
    </row>
    <row r="53" spans="1:8" x14ac:dyDescent="0.25">
      <c r="A53">
        <v>53</v>
      </c>
      <c r="C53">
        <f t="shared" si="4"/>
        <v>38.854492753999999</v>
      </c>
      <c r="D53">
        <f t="shared" si="5"/>
        <v>32.361283718141031</v>
      </c>
      <c r="E53">
        <v>53</v>
      </c>
      <c r="G53">
        <f t="shared" si="6"/>
        <v>38.5391304332</v>
      </c>
      <c r="H53">
        <f t="shared" si="7"/>
        <v>45.006755416200058</v>
      </c>
    </row>
    <row r="54" spans="1:8" x14ac:dyDescent="0.25">
      <c r="A54">
        <v>54</v>
      </c>
      <c r="C54">
        <f t="shared" si="4"/>
        <v>39.392463768500001</v>
      </c>
      <c r="D54">
        <f t="shared" si="5"/>
        <v>32.854769023051411</v>
      </c>
      <c r="E54">
        <v>54</v>
      </c>
      <c r="G54">
        <f t="shared" si="6"/>
        <v>39.095652172299999</v>
      </c>
      <c r="H54">
        <f t="shared" si="7"/>
        <v>45.608672662389168</v>
      </c>
    </row>
    <row r="55" spans="1:8" x14ac:dyDescent="0.25">
      <c r="A55">
        <v>55</v>
      </c>
      <c r="C55">
        <f t="shared" si="4"/>
        <v>39.930434782999995</v>
      </c>
      <c r="D55">
        <f t="shared" si="5"/>
        <v>33.347210871842101</v>
      </c>
      <c r="E55">
        <v>55</v>
      </c>
      <c r="G55">
        <f t="shared" si="6"/>
        <v>39.652173911399998</v>
      </c>
      <c r="H55">
        <f t="shared" si="7"/>
        <v>46.211719306105749</v>
      </c>
    </row>
    <row r="56" spans="1:8" x14ac:dyDescent="0.25">
      <c r="A56">
        <v>56</v>
      </c>
      <c r="C56">
        <f t="shared" si="4"/>
        <v>40.468405797499997</v>
      </c>
      <c r="D56">
        <f t="shared" si="5"/>
        <v>33.838630761898457</v>
      </c>
      <c r="E56">
        <v>56</v>
      </c>
      <c r="G56">
        <f t="shared" si="6"/>
        <v>40.208695650499997</v>
      </c>
      <c r="H56">
        <f t="shared" si="7"/>
        <v>46.815871489190741</v>
      </c>
    </row>
    <row r="57" spans="1:8" x14ac:dyDescent="0.25">
      <c r="A57">
        <v>57</v>
      </c>
      <c r="C57">
        <f t="shared" si="4"/>
        <v>41.006376811999999</v>
      </c>
      <c r="D57">
        <f t="shared" si="5"/>
        <v>34.329050067006989</v>
      </c>
      <c r="E57">
        <v>57</v>
      </c>
      <c r="G57">
        <f t="shared" si="6"/>
        <v>40.765217389600004</v>
      </c>
      <c r="H57">
        <f t="shared" si="7"/>
        <v>47.421105477514445</v>
      </c>
    </row>
    <row r="58" spans="1:8" x14ac:dyDescent="0.25">
      <c r="A58">
        <v>58</v>
      </c>
      <c r="C58">
        <f t="shared" si="4"/>
        <v>41.544347826500001</v>
      </c>
      <c r="D58">
        <f t="shared" si="5"/>
        <v>34.818490009493907</v>
      </c>
      <c r="E58">
        <v>58</v>
      </c>
      <c r="G58">
        <f t="shared" si="6"/>
        <v>41.321739128700003</v>
      </c>
      <c r="H58">
        <f t="shared" si="7"/>
        <v>48.027397695283383</v>
      </c>
    </row>
    <row r="59" spans="1:8" x14ac:dyDescent="0.25">
      <c r="A59">
        <v>59</v>
      </c>
      <c r="C59">
        <f t="shared" si="4"/>
        <v>42.082318840999996</v>
      </c>
      <c r="D59">
        <f t="shared" si="5"/>
        <v>35.306971634528999</v>
      </c>
      <c r="E59">
        <v>59</v>
      </c>
      <c r="G59">
        <f t="shared" si="6"/>
        <v>41.878260867800002</v>
      </c>
      <c r="H59">
        <f t="shared" si="7"/>
        <v>48.634724756672199</v>
      </c>
    </row>
    <row r="60" spans="1:8" x14ac:dyDescent="0.25">
      <c r="A60">
        <v>60</v>
      </c>
      <c r="C60">
        <f t="shared" si="4"/>
        <v>42.620289855499998</v>
      </c>
      <c r="D60">
        <f t="shared" si="5"/>
        <v>35.794515786549582</v>
      </c>
      <c r="E60">
        <v>60</v>
      </c>
      <c r="G60">
        <f t="shared" si="6"/>
        <v>42.434782606900001</v>
      </c>
      <c r="H60">
        <f t="shared" si="7"/>
        <v>49.243063494830835</v>
      </c>
    </row>
    <row r="61" spans="1:8" x14ac:dyDescent="0.25">
      <c r="A61">
        <v>61</v>
      </c>
      <c r="C61">
        <f t="shared" si="4"/>
        <v>43.158260869999999</v>
      </c>
      <c r="D61">
        <f t="shared" si="5"/>
        <v>36.281143087749435</v>
      </c>
      <c r="E61">
        <v>61</v>
      </c>
      <c r="G61">
        <f t="shared" si="6"/>
        <v>42.991304346</v>
      </c>
      <c r="H61">
        <f t="shared" si="7"/>
        <v>49.852390988331791</v>
      </c>
    </row>
    <row r="62" spans="1:8" x14ac:dyDescent="0.25">
      <c r="A62">
        <v>62</v>
      </c>
      <c r="C62">
        <f t="shared" si="4"/>
        <v>43.696231884500001</v>
      </c>
      <c r="D62">
        <f t="shared" si="5"/>
        <v>36.766873918569296</v>
      </c>
      <c r="E62">
        <v>62</v>
      </c>
      <c r="G62">
        <f t="shared" si="6"/>
        <v>43.547826085100006</v>
      </c>
      <c r="H62">
        <f t="shared" si="7"/>
        <v>50.462684585133999</v>
      </c>
    </row>
    <row r="63" spans="1:8" x14ac:dyDescent="0.25">
      <c r="A63">
        <v>63</v>
      </c>
      <c r="C63">
        <f t="shared" si="4"/>
        <v>44.234202899000003</v>
      </c>
      <c r="D63">
        <f t="shared" si="5"/>
        <v>37.251728400118033</v>
      </c>
      <c r="E63">
        <v>63</v>
      </c>
      <c r="G63">
        <f t="shared" si="6"/>
        <v>44.104347824200005</v>
      </c>
      <c r="H63">
        <f t="shared" si="7"/>
        <v>51.073921924149744</v>
      </c>
    </row>
    <row r="64" spans="1:8" x14ac:dyDescent="0.25">
      <c r="A64">
        <v>64</v>
      </c>
      <c r="C64">
        <f t="shared" si="4"/>
        <v>44.772173913499998</v>
      </c>
      <c r="D64">
        <f t="shared" si="5"/>
        <v>37.735726378448234</v>
      </c>
      <c r="E64">
        <v>64</v>
      </c>
      <c r="G64">
        <f t="shared" si="6"/>
        <v>44.660869563300004</v>
      </c>
      <c r="H64">
        <f t="shared" si="7"/>
        <v>51.686080954509336</v>
      </c>
    </row>
    <row r="65" spans="1:8" x14ac:dyDescent="0.25">
      <c r="A65">
        <v>65</v>
      </c>
      <c r="C65">
        <f t="shared" ref="C65:C70" si="8">10.88+(A65-1)*0.5379710145</f>
        <v>45.310144928</v>
      </c>
      <c r="D65">
        <f t="shared" ref="D65:D70" si="9">0+1*C65-5.58747664865838*(1.05555555555556+(C65-21.5)^2/1021.21428571429)^0.5</f>
        <v>38.218887410605475</v>
      </c>
      <c r="E65">
        <v>65</v>
      </c>
      <c r="G65">
        <f t="shared" ref="G65:G70" si="10">9.6+(E65-1)*0.5565217391</f>
        <v>45.217391302400003</v>
      </c>
      <c r="H65">
        <f t="shared" ref="H65:H70" si="11">0+1*G65+5.58747664865838*(1.05555555555556+(G65-21.5)^2/1021.21428571429)^0.5</f>
        <v>52.299139952624301</v>
      </c>
    </row>
    <row r="66" spans="1:8" x14ac:dyDescent="0.25">
      <c r="A66">
        <v>66</v>
      </c>
      <c r="C66">
        <f t="shared" si="8"/>
        <v>45.848115942500002</v>
      </c>
      <c r="D66">
        <f t="shared" si="9"/>
        <v>38.701230752367024</v>
      </c>
      <c r="E66">
        <v>66</v>
      </c>
      <c r="G66">
        <f t="shared" si="10"/>
        <v>45.773913041500002</v>
      </c>
      <c r="H66">
        <f t="shared" si="11"/>
        <v>52.913077537154884</v>
      </c>
    </row>
    <row r="67" spans="1:8" x14ac:dyDescent="0.25">
      <c r="A67">
        <v>67</v>
      </c>
      <c r="C67">
        <f t="shared" si="8"/>
        <v>46.386086956999996</v>
      </c>
      <c r="D67">
        <f t="shared" si="9"/>
        <v>39.18277534758387</v>
      </c>
      <c r="E67">
        <v>67</v>
      </c>
      <c r="G67">
        <f t="shared" si="10"/>
        <v>46.330434780600001</v>
      </c>
      <c r="H67">
        <f t="shared" si="11"/>
        <v>53.527872681990608</v>
      </c>
    </row>
    <row r="68" spans="1:8" x14ac:dyDescent="0.25">
      <c r="A68">
        <v>68</v>
      </c>
      <c r="C68">
        <f t="shared" si="8"/>
        <v>46.924057971499998</v>
      </c>
      <c r="D68">
        <f t="shared" si="9"/>
        <v>39.66353981903832</v>
      </c>
      <c r="E68">
        <v>68</v>
      </c>
      <c r="G68">
        <f t="shared" si="10"/>
        <v>46.8869565197</v>
      </c>
      <c r="H68">
        <f t="shared" si="11"/>
        <v>54.143504727354795</v>
      </c>
    </row>
    <row r="69" spans="1:8" x14ac:dyDescent="0.25">
      <c r="A69">
        <v>69</v>
      </c>
      <c r="C69">
        <f t="shared" si="8"/>
        <v>47.462028986</v>
      </c>
      <c r="D69">
        <f t="shared" si="9"/>
        <v>40.14354246072913</v>
      </c>
      <c r="E69">
        <v>69</v>
      </c>
      <c r="G69">
        <f t="shared" si="10"/>
        <v>47.443478258800006</v>
      </c>
      <c r="H69">
        <f t="shared" si="11"/>
        <v>54.75995338914462</v>
      </c>
    </row>
    <row r="70" spans="1:8" x14ac:dyDescent="0.25">
      <c r="A70">
        <v>70</v>
      </c>
      <c r="C70">
        <f t="shared" si="8"/>
        <v>48.000000000500002</v>
      </c>
      <c r="D70">
        <f t="shared" si="9"/>
        <v>40.622801231496524</v>
      </c>
      <c r="E70">
        <v>70</v>
      </c>
      <c r="G70">
        <f t="shared" si="10"/>
        <v>47.999999997900005</v>
      </c>
      <c r="H70">
        <f t="shared" si="11"/>
        <v>55.377198766617958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DATA</vt:lpstr>
      <vt:lpstr>Analyses descriptives</vt:lpstr>
      <vt:lpstr>Comparaison des groupes T-Préma</vt:lpstr>
      <vt:lpstr>XLSTAT_20230621_094214_1_HID</vt:lpstr>
      <vt:lpstr>XLSTAT_20230621_090741_1_HID</vt:lpstr>
      <vt:lpstr>XLSTAT_20230621_084541_1_HID</vt:lpstr>
      <vt:lpstr>XLSTAT_20230621_082153_1_HID</vt:lpstr>
      <vt:lpstr>XLSTAT_20230621_072543_1_HID</vt:lpstr>
      <vt:lpstr>XLSTAT_20230621_072101_1_HID</vt:lpstr>
      <vt:lpstr>XLSTAT_20230621_070915_1_HID</vt:lpstr>
      <vt:lpstr>XLSTAT_20230621_052021_1_HID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chantal junker-tschopp</dc:creator>
  <cp:lastModifiedBy>Junker-Tschopp Chantal</cp:lastModifiedBy>
  <dcterms:created xsi:type="dcterms:W3CDTF">2023-03-29T16:04:36Z</dcterms:created>
  <dcterms:modified xsi:type="dcterms:W3CDTF">2023-11-23T01:34:15Z</dcterms:modified>
</cp:coreProperties>
</file>